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intranet.kmd.dk/Afdelinger/os/Aktiv/Udfasning/Ændringsanmodninger/ÆA734 Manuelle beregninger/Beregninger sendt til KOMBIT/"/>
    </mc:Choice>
  </mc:AlternateContent>
  <xr:revisionPtr revIDLastSave="0" documentId="13_ncr:1_{86AA9F15-3414-46A7-BC7B-C105AD46D550}" xr6:coauthVersionLast="45" xr6:coauthVersionMax="45" xr10:uidLastSave="{00000000-0000-0000-0000-000000000000}"/>
  <bookViews>
    <workbookView xWindow="-120" yWindow="-120" windowWidth="25440" windowHeight="15390" tabRatio="562" activeTab="3" xr2:uid="{8F40F3F8-860B-41D5-8621-727FE646476D}"/>
  </bookViews>
  <sheets>
    <sheet name="Fleksløntilskud" sheetId="3" r:id="rId1"/>
    <sheet name="Ledighedsydelse" sheetId="4" r:id="rId2"/>
    <sheet name="Tabeller" sheetId="2" state="hidden" r:id="rId3"/>
    <sheet name="Satser" sheetId="5" r:id="rId4"/>
  </sheets>
  <definedNames>
    <definedName name="Arbejdsdage">Tabel2[]</definedName>
    <definedName name="Måneder">Tabeller!$A$1:$D$13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" i="4" l="1"/>
  <c r="F31" i="3" l="1"/>
  <c r="D27" i="3" l="1"/>
  <c r="F21" i="3"/>
  <c r="C29" i="4"/>
  <c r="K12" i="3" l="1"/>
  <c r="E22" i="3" s="1"/>
  <c r="J10" i="3" l="1"/>
  <c r="J8" i="4" l="1"/>
  <c r="J7" i="4"/>
  <c r="J4" i="3"/>
  <c r="K4" i="3" s="1"/>
  <c r="C23" i="3" s="1"/>
  <c r="J4" i="4"/>
  <c r="E27" i="4"/>
  <c r="E24" i="4"/>
  <c r="J5" i="4"/>
  <c r="C21" i="4" s="1"/>
  <c r="K4" i="4"/>
  <c r="E25" i="3"/>
  <c r="J5" i="3"/>
  <c r="K8" i="4" l="1"/>
  <c r="C19" i="3"/>
  <c r="J6" i="3"/>
  <c r="C25" i="4"/>
  <c r="E25" i="4" s="1"/>
  <c r="J6" i="4"/>
  <c r="D7" i="4"/>
  <c r="J13" i="4"/>
  <c r="F20" i="4"/>
  <c r="C23" i="4" s="1"/>
  <c r="E23" i="3"/>
  <c r="C24" i="3"/>
  <c r="E24" i="3" s="1"/>
  <c r="F18" i="3"/>
  <c r="H14" i="2"/>
  <c r="G14" i="2"/>
  <c r="F14" i="2"/>
  <c r="E14" i="2"/>
  <c r="D14" i="2"/>
  <c r="C14" i="2"/>
  <c r="C21" i="3" l="1"/>
  <c r="D29" i="4"/>
  <c r="F29" i="4" s="1"/>
  <c r="C26" i="4"/>
  <c r="E26" i="4" s="1"/>
  <c r="E28" i="4" s="1"/>
  <c r="F28" i="4" s="1"/>
  <c r="F23" i="4"/>
  <c r="E26" i="3"/>
  <c r="F26" i="3" s="1"/>
  <c r="C27" i="3" l="1"/>
  <c r="E27" i="3" s="1"/>
  <c r="F27" i="3" s="1"/>
  <c r="F28" i="3" s="1"/>
  <c r="F30" i="4"/>
  <c r="F31" i="4" s="1"/>
  <c r="F33" i="4" s="1"/>
  <c r="F29" i="3" l="1"/>
</calcChain>
</file>

<file path=xl/sharedStrings.xml><?xml version="1.0" encoding="utf-8"?>
<sst xmlns="http://schemas.openxmlformats.org/spreadsheetml/2006/main" count="186" uniqueCount="129">
  <si>
    <t>År</t>
  </si>
  <si>
    <t>Måneder</t>
  </si>
  <si>
    <t>Januar</t>
  </si>
  <si>
    <t>Februar</t>
  </si>
  <si>
    <t>Marts</t>
  </si>
  <si>
    <t>April</t>
  </si>
  <si>
    <t>Maj</t>
  </si>
  <si>
    <t>Juni</t>
  </si>
  <si>
    <t>Juli</t>
  </si>
  <si>
    <t>August</t>
  </si>
  <si>
    <t>September</t>
  </si>
  <si>
    <t>Oktober</t>
  </si>
  <si>
    <t>November</t>
  </si>
  <si>
    <t>December</t>
  </si>
  <si>
    <t>2016</t>
  </si>
  <si>
    <t>Beregning af fleksløntilskud</t>
  </si>
  <si>
    <t>Sats for fleksløntilskud</t>
  </si>
  <si>
    <t>Sats</t>
  </si>
  <si>
    <t>Indtægtsgrænse</t>
  </si>
  <si>
    <t>Sats pr. uge . . . . . . .</t>
  </si>
  <si>
    <t>Indtægtsgrænse til fradrag</t>
  </si>
  <si>
    <t>Indt.&lt;= grænse, fradr. pct</t>
  </si>
  <si>
    <t>Indt. &gt; grænse, fradr. pct</t>
  </si>
  <si>
    <t>Personandel ATP i procent.</t>
  </si>
  <si>
    <t>Max personandel ATP i kr..</t>
  </si>
  <si>
    <t>Timegrænse kom. andel ATP.</t>
  </si>
  <si>
    <t>Kom. ATP bidrag &lt; timegræn</t>
  </si>
  <si>
    <t>Kommune ATP bidrag pr time</t>
  </si>
  <si>
    <t>Årligt tilskud §70 . . . .</t>
  </si>
  <si>
    <t>Satser</t>
  </si>
  <si>
    <t>2015</t>
  </si>
  <si>
    <t>2017</t>
  </si>
  <si>
    <t>2018</t>
  </si>
  <si>
    <t>1/7 2017</t>
  </si>
  <si>
    <t>2019</t>
  </si>
  <si>
    <t>2020</t>
  </si>
  <si>
    <t xml:space="preserve">   Lønindtægt</t>
  </si>
  <si>
    <t xml:space="preserve">   Fradragsfri indtægt u. indtægtsgrænse</t>
  </si>
  <si>
    <t xml:space="preserve">   Fradragsfri indtægt o. indtægtsgrænse</t>
  </si>
  <si>
    <t xml:space="preserve">   Sygedagpenge m.m.</t>
  </si>
  <si>
    <t>Indtægtsfradrag</t>
  </si>
  <si>
    <t>(100-30)%</t>
  </si>
  <si>
    <t>(100-55)%</t>
  </si>
  <si>
    <t>Nedsættelse pga. loft over tilskud</t>
  </si>
  <si>
    <t>Bruttoydelse</t>
  </si>
  <si>
    <t>Skattekort fradrag</t>
  </si>
  <si>
    <t>Trækprocent</t>
  </si>
  <si>
    <t>Kommuneandel ATP</t>
  </si>
  <si>
    <t>ATP KOM</t>
  </si>
  <si>
    <t>ATP kom time</t>
  </si>
  <si>
    <t>ATP egen andel</t>
  </si>
  <si>
    <t>Måned /år</t>
  </si>
  <si>
    <t xml:space="preserve">Normalløn pr. måned </t>
  </si>
  <si>
    <t xml:space="preserve"> </t>
  </si>
  <si>
    <t xml:space="preserve">Syge-/barselsdagpenge </t>
  </si>
  <si>
    <t>Antal dage</t>
  </si>
  <si>
    <t>Kolonne</t>
  </si>
  <si>
    <t>2017-1</t>
  </si>
  <si>
    <t>2017-2</t>
  </si>
  <si>
    <t>Kolonne1</t>
  </si>
  <si>
    <t>Fleksløntilskud for perioden</t>
  </si>
  <si>
    <t>Antal dage uden fleksjob</t>
  </si>
  <si>
    <t>ugedage</t>
  </si>
  <si>
    <t>OP-bidrag</t>
  </si>
  <si>
    <t>Fleksløntilskud - LAB § 70 f</t>
  </si>
  <si>
    <t>Ledighedsydelse - AKL § 74</t>
  </si>
  <si>
    <t>Midlertidig afbrydelse</t>
  </si>
  <si>
    <t>Beregning af ledighedsydelse</t>
  </si>
  <si>
    <t>Satsvalg</t>
  </si>
  <si>
    <t>Ledighedsydelse forsørger</t>
  </si>
  <si>
    <t>Ledighedsydelse ej-forsørger</t>
  </si>
  <si>
    <t>89% dagpenge</t>
  </si>
  <si>
    <t>Ugesats 89%</t>
  </si>
  <si>
    <t>A74 periodesanktion 89%</t>
  </si>
  <si>
    <t>A74 periodesanktion Forsørger</t>
  </si>
  <si>
    <t>A74 periodesanktion ej-forsørger</t>
  </si>
  <si>
    <t>ATP-bidrag pr. måne</t>
  </si>
  <si>
    <t>ATP-bidrag kommune</t>
  </si>
  <si>
    <t>§ 74/ 89%</t>
  </si>
  <si>
    <t>§ 74 forsørger</t>
  </si>
  <si>
    <t>§ 74 ej-forsørger</t>
  </si>
  <si>
    <t>§ 77/ 89%</t>
  </si>
  <si>
    <t>§77 fors.</t>
  </si>
  <si>
    <t>§77 ej-fors.</t>
  </si>
  <si>
    <t>§70 f Sats pr. måned . . . . . .</t>
  </si>
  <si>
    <t>ATP egen</t>
  </si>
  <si>
    <t>ATP kom2</t>
  </si>
  <si>
    <t>kolonne</t>
  </si>
  <si>
    <t>89%-dagp.</t>
  </si>
  <si>
    <t>§ 74 a, stk. 2</t>
  </si>
  <si>
    <t>§ 74 a, stk. 3.1</t>
  </si>
  <si>
    <t>§ 74 a, stk. 3.2</t>
  </si>
  <si>
    <t>Sats for ledighedsydelse</t>
  </si>
  <si>
    <t>§ 74 d</t>
  </si>
  <si>
    <t xml:space="preserve">   Feriepenge m.m.</t>
  </si>
  <si>
    <t>§ 74 e, stk. 6</t>
  </si>
  <si>
    <t>Periodesanktion antal dage</t>
  </si>
  <si>
    <t>§ 77</t>
  </si>
  <si>
    <t>Fradrag pga. sanktioner</t>
  </si>
  <si>
    <t>Kolonne2</t>
  </si>
  <si>
    <t>Forsørger</t>
  </si>
  <si>
    <t>§ 74 a, stk. 3</t>
  </si>
  <si>
    <t>Kont.hjælp</t>
  </si>
  <si>
    <t>Kont.hjælpJA</t>
  </si>
  <si>
    <t>Kont.hjælpNEJ</t>
  </si>
  <si>
    <t>JA</t>
  </si>
  <si>
    <t>NEJ</t>
  </si>
  <si>
    <t>89%-dagp.JA</t>
  </si>
  <si>
    <t>89%-dagp.NEJ</t>
  </si>
  <si>
    <t>Ledighedsydelse for perioden</t>
  </si>
  <si>
    <t>ydelsesdage</t>
  </si>
  <si>
    <t>* (100-30)%</t>
  </si>
  <si>
    <t>* (100-55)%</t>
  </si>
  <si>
    <t xml:space="preserve">Lønindtægt i måneden </t>
  </si>
  <si>
    <t>Feriepenge i måneden</t>
  </si>
  <si>
    <t>Arbejdstimer pr. uge</t>
  </si>
  <si>
    <t>pr. måned</t>
  </si>
  <si>
    <t>Antal dage af mulige</t>
  </si>
  <si>
    <t>Feriegodtgørelse i måneden</t>
  </si>
  <si>
    <t xml:space="preserve"> § 70 f, stk. 5, 3. pkt.</t>
  </si>
  <si>
    <t xml:space="preserve"> § 70 f, stk. 4</t>
  </si>
  <si>
    <t xml:space="preserve"> § 70 f, stk. 2</t>
  </si>
  <si>
    <t xml:space="preserve"> § 70 f, stk. 3</t>
  </si>
  <si>
    <t>Notater</t>
  </si>
  <si>
    <t xml:space="preserve"> § 115, stk. 2</t>
  </si>
  <si>
    <t>Indtægt i alt</t>
  </si>
  <si>
    <t xml:space="preserve">   Lønindtægt + feriegodtgørelse</t>
  </si>
  <si>
    <t>Arbejdstimer</t>
  </si>
  <si>
    <t>maks.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</si>
</sst>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43" fontId="0" fillId="0" borderId="0" xfId="1" applyFont="1"/>
    <xf numFmtId="0" fontId="0" fillId="0" borderId="0" xfId="0" applyAlignment="1">
      <alignment horizontal="right"/>
    </xf>
    <xf numFmtId="43" fontId="0" fillId="2" borderId="2" xfId="0" applyNumberFormat="1" applyFill="1" applyBorder="1"/>
    <xf numFmtId="4" fontId="0" fillId="2" borderId="2" xfId="0" applyNumberFormat="1" applyFill="1" applyBorder="1" applyAlignment="1">
      <alignment horizontal="right"/>
    </xf>
    <xf numFmtId="0" fontId="0" fillId="2" borderId="0" xfId="0" applyFill="1" applyBorder="1"/>
    <xf numFmtId="4" fontId="0" fillId="2" borderId="0" xfId="0" applyNumberFormat="1" applyFill="1" applyBorder="1" applyAlignment="1">
      <alignment horizontal="right"/>
    </xf>
    <xf numFmtId="0" fontId="0" fillId="2" borderId="6" xfId="0" applyFill="1" applyBorder="1"/>
    <xf numFmtId="0" fontId="0" fillId="2" borderId="0" xfId="0" applyFill="1" applyBorder="1" applyAlignment="1">
      <alignment horizontal="right"/>
    </xf>
    <xf numFmtId="0" fontId="0" fillId="2" borderId="7" xfId="0" applyFill="1" applyBorder="1"/>
    <xf numFmtId="43" fontId="0" fillId="2" borderId="7" xfId="1" applyFont="1" applyFill="1" applyBorder="1"/>
    <xf numFmtId="4" fontId="0" fillId="2" borderId="0" xfId="1" applyNumberFormat="1" applyFont="1" applyFill="1" applyBorder="1" applyAlignment="1">
      <alignment horizontal="right"/>
    </xf>
    <xf numFmtId="43" fontId="0" fillId="2" borderId="0" xfId="1" applyFont="1" applyFill="1" applyBorder="1"/>
    <xf numFmtId="9" fontId="0" fillId="2" borderId="0" xfId="0" applyNumberFormat="1" applyFill="1" applyBorder="1"/>
    <xf numFmtId="4" fontId="0" fillId="2" borderId="0" xfId="1" applyNumberFormat="1" applyFont="1" applyFill="1" applyBorder="1" applyAlignment="1"/>
    <xf numFmtId="4" fontId="0" fillId="2" borderId="7" xfId="0" applyNumberFormat="1" applyFill="1" applyBorder="1"/>
    <xf numFmtId="0" fontId="0" fillId="2" borderId="8" xfId="0" applyFill="1" applyBorder="1"/>
    <xf numFmtId="4" fontId="0" fillId="2" borderId="9" xfId="0" applyNumberFormat="1" applyFill="1" applyBorder="1"/>
    <xf numFmtId="4" fontId="0" fillId="2" borderId="10" xfId="0" applyNumberFormat="1" applyFill="1" applyBorder="1"/>
    <xf numFmtId="0" fontId="0" fillId="2" borderId="11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Border="1" applyAlignment="1">
      <alignment horizontal="left"/>
    </xf>
    <xf numFmtId="0" fontId="0" fillId="3" borderId="0" xfId="0" applyFill="1"/>
    <xf numFmtId="0" fontId="0" fillId="3" borderId="0" xfId="0" applyFill="1" applyAlignment="1"/>
    <xf numFmtId="0" fontId="5" fillId="3" borderId="0" xfId="0" applyFont="1" applyFill="1"/>
    <xf numFmtId="0" fontId="6" fillId="3" borderId="0" xfId="0" applyFont="1" applyFill="1"/>
    <xf numFmtId="0" fontId="0" fillId="0" borderId="6" xfId="0" applyBorder="1"/>
    <xf numFmtId="0" fontId="4" fillId="2" borderId="3" xfId="0" applyFont="1" applyFill="1" applyBorder="1" applyAlignment="1">
      <alignment horizontal="center"/>
    </xf>
    <xf numFmtId="10" fontId="0" fillId="0" borderId="0" xfId="0" applyNumberFormat="1"/>
    <xf numFmtId="0" fontId="0" fillId="2" borderId="12" xfId="0" applyFill="1" applyBorder="1" applyAlignment="1">
      <alignment horizontal="center"/>
    </xf>
    <xf numFmtId="4" fontId="0" fillId="2" borderId="12" xfId="0" applyNumberFormat="1" applyFill="1" applyBorder="1" applyAlignment="1">
      <alignment horizontal="right"/>
    </xf>
    <xf numFmtId="43" fontId="0" fillId="2" borderId="13" xfId="1" applyFont="1" applyFill="1" applyBorder="1"/>
    <xf numFmtId="0" fontId="0" fillId="2" borderId="0" xfId="0" applyFill="1" applyBorder="1" applyAlignment="1">
      <alignment horizontal="center"/>
    </xf>
    <xf numFmtId="0" fontId="8" fillId="3" borderId="0" xfId="0" applyFont="1" applyFill="1"/>
    <xf numFmtId="0" fontId="8" fillId="0" borderId="0" xfId="0" applyFont="1"/>
    <xf numFmtId="0" fontId="7" fillId="4" borderId="15" xfId="0" applyFont="1" applyFill="1" applyBorder="1"/>
    <xf numFmtId="0" fontId="0" fillId="5" borderId="15" xfId="0" applyFont="1" applyFill="1" applyBorder="1"/>
    <xf numFmtId="0" fontId="0" fillId="0" borderId="15" xfId="0" applyFont="1" applyBorder="1"/>
    <xf numFmtId="43" fontId="0" fillId="0" borderId="14" xfId="1" applyNumberFormat="1" applyFont="1" applyBorder="1"/>
    <xf numFmtId="43" fontId="0" fillId="0" borderId="14" xfId="1" applyNumberFormat="1" applyFont="1" applyFill="1" applyBorder="1"/>
    <xf numFmtId="9" fontId="0" fillId="0" borderId="0" xfId="0" applyNumberFormat="1"/>
    <xf numFmtId="4" fontId="0" fillId="3" borderId="0" xfId="1" applyNumberFormat="1" applyFont="1" applyFill="1" applyBorder="1" applyAlignment="1"/>
    <xf numFmtId="0" fontId="0" fillId="2" borderId="2" xfId="0" applyFill="1" applyBorder="1" applyAlignment="1">
      <alignment horizontal="right"/>
    </xf>
    <xf numFmtId="0" fontId="0" fillId="0" borderId="4" xfId="0" applyBorder="1"/>
    <xf numFmtId="4" fontId="0" fillId="2" borderId="13" xfId="0" applyNumberFormat="1" applyFill="1" applyBorder="1"/>
    <xf numFmtId="0" fontId="0" fillId="2" borderId="0" xfId="0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4" fontId="0" fillId="0" borderId="1" xfId="1" applyNumberFormat="1" applyFont="1" applyFill="1" applyBorder="1" applyAlignment="1" applyProtection="1">
      <protection locked="0"/>
    </xf>
    <xf numFmtId="0" fontId="0" fillId="0" borderId="1" xfId="0" applyFill="1" applyBorder="1" applyAlignment="1" applyProtection="1">
      <protection locked="0"/>
    </xf>
    <xf numFmtId="9" fontId="0" fillId="0" borderId="1" xfId="0" applyNumberFormat="1" applyFill="1" applyBorder="1" applyProtection="1">
      <protection locked="0"/>
    </xf>
    <xf numFmtId="4" fontId="0" fillId="0" borderId="1" xfId="1" applyNumberFormat="1" applyFont="1" applyFill="1" applyBorder="1" applyAlignment="1" applyProtection="1">
      <alignment horizontal="center"/>
      <protection locked="0"/>
    </xf>
    <xf numFmtId="3" fontId="0" fillId="0" borderId="1" xfId="1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>
      <alignment horizontal="left"/>
    </xf>
    <xf numFmtId="10" fontId="0" fillId="0" borderId="12" xfId="0" applyNumberFormat="1" applyBorder="1"/>
    <xf numFmtId="2" fontId="6" fillId="3" borderId="0" xfId="0" applyNumberFormat="1" applyFont="1" applyFill="1"/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9" fillId="2" borderId="17" xfId="0" applyFont="1" applyFill="1" applyBorder="1" applyAlignment="1" applyProtection="1">
      <alignment horizontal="center"/>
      <protection locked="0"/>
    </xf>
    <xf numFmtId="0" fontId="0" fillId="6" borderId="0" xfId="0" applyFill="1"/>
    <xf numFmtId="0" fontId="8" fillId="6" borderId="0" xfId="0" applyFont="1" applyFill="1"/>
    <xf numFmtId="0" fontId="6" fillId="6" borderId="0" xfId="0" applyFont="1" applyFill="1"/>
    <xf numFmtId="0" fontId="6" fillId="6" borderId="0" xfId="0" applyFont="1" applyFill="1" applyAlignment="1">
      <alignment horizontal="right"/>
    </xf>
    <xf numFmtId="2" fontId="6" fillId="6" borderId="0" xfId="0" applyNumberFormat="1" applyFont="1" applyFill="1"/>
    <xf numFmtId="4" fontId="0" fillId="6" borderId="0" xfId="0" applyNumberFormat="1" applyFill="1"/>
    <xf numFmtId="0" fontId="9" fillId="3" borderId="0" xfId="0" applyFont="1" applyFill="1" applyAlignment="1">
      <alignment horizontal="center"/>
    </xf>
    <xf numFmtId="0" fontId="0" fillId="2" borderId="0" xfId="0" applyFill="1" applyBorder="1" applyAlignment="1">
      <alignment horizontal="center"/>
    </xf>
    <xf numFmtId="4" fontId="6" fillId="6" borderId="0" xfId="0" applyNumberFormat="1" applyFont="1" applyFill="1"/>
  </cellXfs>
  <cellStyles count="2">
    <cellStyle name="Komma" xfId="1" builtinId="3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3411884-FB73-4252-9BDA-C2FC90139FF4}" name="Tabel2" displayName="Tabel2" ref="A1:H14" totalsRowCount="1">
  <autoFilter ref="A1:H13" xr:uid="{C840293F-39F3-422B-8A68-900391569F16}"/>
  <tableColumns count="8">
    <tableColumn id="1" xr3:uid="{0240FD60-C93E-47E2-8FAF-3AABFF808144}" name="Måneder"/>
    <tableColumn id="2" xr3:uid="{B717435E-ABE3-4C15-916F-C100E5D30920}" name="Kolonne1"/>
    <tableColumn id="3" xr3:uid="{A23A09E2-C148-4B94-BD87-2800EC12604E}" name="2015" totalsRowFunction="sum"/>
    <tableColumn id="4" xr3:uid="{C944CF37-9B5F-4F11-B646-2813CAD43838}" name="2016" totalsRowFunction="sum"/>
    <tableColumn id="5" xr3:uid="{F488D44C-EFF8-4C0D-9564-F0E6D103AE1A}" name="2017" totalsRowFunction="sum"/>
    <tableColumn id="6" xr3:uid="{489F62EA-07F2-44D9-B387-0BE4B4BC8CC4}" name="2018" totalsRowFunction="sum"/>
    <tableColumn id="7" xr3:uid="{8C16127A-D179-4EE0-8257-329FD255F84C}" name="2019" totalsRowFunction="sum"/>
    <tableColumn id="8" xr3:uid="{FB6B5FDF-F115-464D-901F-EEA729A0428A}" name="2020" totalsRowFunction="sum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Måneder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8B1D13-C9CA-442E-BCA1-49FBD01807C9}" name="Tabel4" displayName="Tabel4" ref="A16:N25" totalsRowShown="0">
  <autoFilter ref="A16:N25" xr:uid="{EB25B7E3-CFCE-4E20-B625-89572C5D48B9}"/>
  <tableColumns count="14">
    <tableColumn id="1" xr3:uid="{AB745603-C54C-4675-9C77-DCD051F39F67}" name="År"/>
    <tableColumn id="7" xr3:uid="{1B264CC4-6937-4936-8490-ECC9FB629F8C}" name="Sats"/>
    <tableColumn id="8" xr3:uid="{EEA585B7-9BB1-442C-8636-E52153AB89E0}" name="Indtægtsgrænse"/>
    <tableColumn id="9" xr3:uid="{27B3A3B0-6350-471D-9651-DF0704718ACF}" name="ATP KOM"/>
    <tableColumn id="10" xr3:uid="{0695D4D0-A33B-4CBC-A074-F1B1FF223EF2}" name="ATP kom time"/>
    <tableColumn id="2" xr3:uid="{73D7178E-9F52-4249-8E71-5102C3DAF4FC}" name="OP-bidrag"/>
    <tableColumn id="3" xr3:uid="{E2F36238-D4E6-4B81-A5E2-D42E782F02A0}" name="§ 74/ 89%"/>
    <tableColumn id="4" xr3:uid="{CB5BBB51-9CEE-4831-9087-41CA6DD40895}" name="§ 74 forsørger" dataDxfId="8"/>
    <tableColumn id="5" xr3:uid="{188320A2-7459-4301-9859-B00EF53F706F}" name="§ 74 ej-forsørger" dataDxfId="7"/>
    <tableColumn id="6" xr3:uid="{720BE98E-0C0A-41F8-A45D-140556E015CB}" name="§ 77/ 89%" dataDxfId="6"/>
    <tableColumn id="11" xr3:uid="{23E75E68-1461-4A0A-926D-A9C9F0D8B20B}" name="§77 fors." dataDxfId="5"/>
    <tableColumn id="12" xr3:uid="{42E17E6D-F00D-411D-A55B-B59139BDDB88}" name="§77 ej-fors." dataDxfId="4"/>
    <tableColumn id="13" xr3:uid="{043B07EE-CB3C-4F6B-AC62-A8B62B64A40A}" name="ATP egen" dataDxfId="3"/>
    <tableColumn id="14" xr3:uid="{FB865CA0-DAA6-4F0A-8CE5-CDF2E5B9B8DD}" name="ATP kom2" dataDxf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3EC2B6-8ACA-4F29-9F65-CD3BCE600527}" name="Tabel5" displayName="Tabel5" ref="A27:H47" totalsRowShown="0">
  <autoFilter ref="A27:H47" xr:uid="{C54AAB17-EA45-4103-8880-8F8C3508C11B}"/>
  <tableColumns count="8">
    <tableColumn id="1" xr3:uid="{19DE1163-1315-4DEB-BBA2-51D4A1068D96}" name="Satser"/>
    <tableColumn id="2" xr3:uid="{7478554D-2410-4358-952B-880638D2906A}" name="2015" dataDxfId="1"/>
    <tableColumn id="3" xr3:uid="{D34F3517-50CB-420A-80B1-11DB32C82E22}" name="2016"/>
    <tableColumn id="4" xr3:uid="{33EDDA14-25D2-4E61-A8DF-9DDCF0BCA912}" name="2017"/>
    <tableColumn id="5" xr3:uid="{CA9E988B-84E6-49AC-AC16-D1F99BBB525A}" name="1/7 2017"/>
    <tableColumn id="6" xr3:uid="{468E6590-FB29-45FA-B7C4-0B2A60840203}" name="2018"/>
    <tableColumn id="7" xr3:uid="{75E794F2-93C1-4283-89EF-E47383D14C71}" name="2019"/>
    <tableColumn id="8" xr3:uid="{E67EEAA3-8F0D-40A9-B1BE-421CD9CAE889}" name="202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D47DD-D255-4055-ACC8-C83DC636B80D}" name="Tabel1" displayName="Tabel1" ref="R1:R24" totalsRowShown="0">
  <autoFilter ref="R1:R24" xr:uid="{184A5528-3AD5-44BC-BE8F-D1281BB2D488}"/>
  <tableColumns count="1">
    <tableColumn id="1" xr3:uid="{79BE150B-BB66-4DF3-8648-D5F3E1F0DAA2}" name="Antal dag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0E84970-DB1B-44A7-A449-69B3762F44B9}" name="Tabel3" displayName="Tabel3" ref="J1:M11" totalsRowShown="0">
  <autoFilter ref="J1:M11" xr:uid="{F8BE74A0-68F2-467F-8888-3211A17C90CF}"/>
  <tableColumns count="4">
    <tableColumn id="1" xr3:uid="{4E06D398-6FF6-47AE-B121-CC606C75DB34}" name="Sats"/>
    <tableColumn id="2" xr3:uid="{CA27702F-D671-434F-A091-9701862CDEF3}" name="Kolonne1"/>
    <tableColumn id="3" xr3:uid="{F69988DC-0655-4810-9EAD-6E9589001159}" name="kolonne"/>
    <tableColumn id="4" xr3:uid="{07717824-38C5-4540-98B4-CAA00B76AC64}" name="Kolonne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4DFBB92-10FF-4D6B-8850-AC1A0DDDABBB}" name="Tabel6" displayName="Tabel6" ref="O1:O7" totalsRowShown="0">
  <autoFilter ref="O1:O7" xr:uid="{7CB6B019-B60D-4EDB-A5A4-121AB3417401}"/>
  <tableColumns count="1">
    <tableColumn id="1" xr3:uid="{E9FAC6F6-131B-4CD5-AA24-C48AEA85DD05}" name="Å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482A7B5-EC84-496A-93CD-41A5ED8D2530}" name="Tabel58" displayName="Tabel58" ref="A1:G20" totalsRowShown="0">
  <autoFilter ref="A1:G20" xr:uid="{59A0A704-322C-47D4-865A-F56CD68F89E7}"/>
  <tableColumns count="7">
    <tableColumn id="1" xr3:uid="{94C5F268-C341-48CF-BC37-3CF7EFCD5B5E}" name="Satser"/>
    <tableColumn id="2" xr3:uid="{12A09AD4-C3DB-49F1-9785-6357EAB766A0}" name="2015" dataDxfId="0"/>
    <tableColumn id="3" xr3:uid="{8F2DE6D6-698A-4B1F-80B3-7AF1A42E9FED}" name="2016"/>
    <tableColumn id="4" xr3:uid="{1EDB7576-45D3-42BC-99C8-889E8259F72E}" name="2017"/>
    <tableColumn id="5" xr3:uid="{F7CA4DFC-596E-403E-B7AC-966BE13C14E0}" name="1/7 2017"/>
    <tableColumn id="6" xr3:uid="{DFA3F533-04F6-417B-AE00-B74687D625C5}" name="2018"/>
    <tableColumn id="7" xr3:uid="{9FA7AA4D-153D-489B-B748-0125FD63DDFA}" name="20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8DD5-951B-4C6F-98D8-429E5589C780}">
  <dimension ref="A1:K34"/>
  <sheetViews>
    <sheetView zoomScaleNormal="100" workbookViewId="0">
      <selection activeCell="C11" sqref="C11"/>
    </sheetView>
  </sheetViews>
  <sheetFormatPr defaultRowHeight="15" x14ac:dyDescent="0.25"/>
  <cols>
    <col min="1" max="1" width="4" customWidth="1"/>
    <col min="2" max="2" width="36.140625" customWidth="1"/>
    <col min="3" max="3" width="12" customWidth="1"/>
    <col min="4" max="4" width="10.42578125" customWidth="1"/>
    <col min="5" max="5" width="9.85546875" bestFit="1" customWidth="1"/>
    <col min="6" max="6" width="12.5703125" customWidth="1"/>
    <col min="7" max="7" width="3.85546875" customWidth="1"/>
    <col min="8" max="8" width="71.5703125" style="58" customWidth="1"/>
    <col min="9" max="9" width="11" customWidth="1"/>
    <col min="10" max="11" width="11" style="63" hidden="1" customWidth="1"/>
    <col min="12" max="13" width="11" customWidth="1"/>
  </cols>
  <sheetData>
    <row r="1" spans="1:11" x14ac:dyDescent="0.25">
      <c r="A1" s="24"/>
      <c r="B1" s="24"/>
      <c r="C1" s="24"/>
      <c r="D1" s="24"/>
      <c r="E1" s="24"/>
      <c r="F1" s="24"/>
      <c r="G1" s="24"/>
      <c r="H1" s="61"/>
    </row>
    <row r="2" spans="1:11" s="36" customFormat="1" ht="18.75" x14ac:dyDescent="0.3">
      <c r="A2" s="35"/>
      <c r="B2" s="69" t="s">
        <v>64</v>
      </c>
      <c r="C2" s="69"/>
      <c r="D2" s="69"/>
      <c r="E2" s="69"/>
      <c r="F2" s="35"/>
      <c r="G2" s="35"/>
      <c r="H2" s="62" t="s">
        <v>123</v>
      </c>
      <c r="J2" s="64"/>
      <c r="K2" s="64"/>
    </row>
    <row r="3" spans="1:11" x14ac:dyDescent="0.25">
      <c r="A3" s="24"/>
      <c r="B3" s="24"/>
      <c r="C3" s="24"/>
      <c r="D3" s="24"/>
      <c r="E3" s="26"/>
      <c r="F3" s="26"/>
      <c r="G3" s="24"/>
      <c r="H3" s="59"/>
    </row>
    <row r="4" spans="1:11" x14ac:dyDescent="0.25">
      <c r="A4" s="24"/>
      <c r="B4" s="24" t="s">
        <v>51</v>
      </c>
      <c r="C4" s="49" t="s">
        <v>11</v>
      </c>
      <c r="D4" s="49">
        <v>2019</v>
      </c>
      <c r="E4" s="26"/>
      <c r="F4" s="26"/>
      <c r="G4" s="27"/>
      <c r="H4" s="59"/>
      <c r="J4" s="65">
        <f>VLOOKUP(C4,Tabel2[[Måneder]:[Kolonne1]],2,FALSE)</f>
        <v>10</v>
      </c>
      <c r="K4" s="65">
        <f>IF(D4=2017,IF(J4&lt;7,"2017-1","2017-2"),D4)</f>
        <v>2019</v>
      </c>
    </row>
    <row r="5" spans="1:11" x14ac:dyDescent="0.25">
      <c r="A5" s="24"/>
      <c r="B5" s="24" t="s">
        <v>61</v>
      </c>
      <c r="C5" s="48">
        <v>1</v>
      </c>
      <c r="D5" s="24"/>
      <c r="E5" s="26"/>
      <c r="F5" s="26"/>
      <c r="G5" s="27"/>
      <c r="H5" s="59"/>
      <c r="J5" s="66">
        <f>VLOOKUP($C$4,Tabel2[],$D$4-2012,FALSE)</f>
        <v>23</v>
      </c>
      <c r="K5" s="65" t="s">
        <v>62</v>
      </c>
    </row>
    <row r="6" spans="1:11" x14ac:dyDescent="0.25">
      <c r="A6" s="24"/>
      <c r="B6" s="24"/>
      <c r="C6" s="24"/>
      <c r="D6" s="24"/>
      <c r="E6" s="26"/>
      <c r="F6" s="26"/>
      <c r="G6" s="27"/>
      <c r="H6" s="59"/>
      <c r="J6" s="65">
        <f>J5-C5</f>
        <v>22</v>
      </c>
      <c r="K6" s="65" t="s">
        <v>110</v>
      </c>
    </row>
    <row r="7" spans="1:11" x14ac:dyDescent="0.25">
      <c r="A7" s="24"/>
      <c r="B7" s="24" t="s">
        <v>52</v>
      </c>
      <c r="C7" s="50">
        <v>30000</v>
      </c>
      <c r="D7" s="24" t="s">
        <v>122</v>
      </c>
      <c r="E7" s="26"/>
      <c r="F7" s="26"/>
      <c r="G7" s="27"/>
      <c r="H7" s="59"/>
      <c r="J7" s="65"/>
      <c r="K7" s="65"/>
    </row>
    <row r="8" spans="1:11" x14ac:dyDescent="0.25">
      <c r="A8" s="24"/>
      <c r="B8" s="24"/>
      <c r="C8" s="25"/>
      <c r="D8" s="24"/>
      <c r="E8" s="26"/>
      <c r="F8" s="26"/>
      <c r="G8" s="27"/>
      <c r="H8" s="59"/>
      <c r="J8" s="65"/>
      <c r="K8" s="65"/>
    </row>
    <row r="9" spans="1:11" x14ac:dyDescent="0.25">
      <c r="A9" s="24"/>
      <c r="B9" s="24" t="s">
        <v>113</v>
      </c>
      <c r="C9" s="50">
        <v>20000</v>
      </c>
      <c r="D9" s="24" t="s">
        <v>121</v>
      </c>
      <c r="E9" s="26"/>
      <c r="F9" s="26"/>
      <c r="G9" s="27"/>
      <c r="H9" s="59"/>
      <c r="J9" s="65" t="s">
        <v>127</v>
      </c>
      <c r="K9" s="65"/>
    </row>
    <row r="10" spans="1:11" x14ac:dyDescent="0.25">
      <c r="A10" s="24"/>
      <c r="B10" s="24" t="s">
        <v>115</v>
      </c>
      <c r="C10" s="51">
        <v>20</v>
      </c>
      <c r="D10" s="24" t="s">
        <v>124</v>
      </c>
      <c r="E10" s="26"/>
      <c r="F10" s="26"/>
      <c r="G10" s="27"/>
      <c r="H10" s="59"/>
      <c r="J10" s="67">
        <f>MIN(C10,37)*4.333</f>
        <v>86.66</v>
      </c>
      <c r="K10" s="65" t="s">
        <v>116</v>
      </c>
    </row>
    <row r="11" spans="1:11" x14ac:dyDescent="0.25">
      <c r="A11" s="24"/>
      <c r="B11" s="24" t="s">
        <v>118</v>
      </c>
      <c r="C11" s="50"/>
      <c r="D11" s="24" t="s">
        <v>120</v>
      </c>
      <c r="E11" s="57"/>
      <c r="F11" s="27"/>
      <c r="G11" s="27"/>
      <c r="H11" s="59"/>
    </row>
    <row r="12" spans="1:11" x14ac:dyDescent="0.25">
      <c r="A12" s="24"/>
      <c r="B12" s="24"/>
      <c r="C12" s="25"/>
      <c r="D12" s="24"/>
      <c r="E12" s="27"/>
      <c r="F12" s="27"/>
      <c r="G12" s="27"/>
      <c r="H12" s="59"/>
      <c r="J12" s="63" t="s">
        <v>125</v>
      </c>
      <c r="K12" s="68">
        <f>C9+C11</f>
        <v>20000</v>
      </c>
    </row>
    <row r="13" spans="1:11" x14ac:dyDescent="0.25">
      <c r="A13" s="24"/>
      <c r="B13" s="24" t="s">
        <v>54</v>
      </c>
      <c r="C13" s="50"/>
      <c r="D13" s="24" t="s">
        <v>119</v>
      </c>
      <c r="E13" s="27"/>
      <c r="F13" s="27"/>
      <c r="G13" s="27"/>
      <c r="H13" s="59"/>
    </row>
    <row r="14" spans="1:11" x14ac:dyDescent="0.25">
      <c r="A14" s="24"/>
      <c r="B14" s="24"/>
      <c r="C14" s="24"/>
      <c r="D14" s="24"/>
      <c r="E14" s="27"/>
      <c r="F14" s="27"/>
      <c r="G14" s="27"/>
      <c r="H14" s="59"/>
    </row>
    <row r="15" spans="1:11" ht="15.75" thickBot="1" x14ac:dyDescent="0.3">
      <c r="A15" s="24"/>
      <c r="B15" s="24"/>
      <c r="C15" s="24"/>
      <c r="D15" s="24"/>
      <c r="E15" s="27"/>
      <c r="F15" s="27"/>
      <c r="G15" s="27"/>
      <c r="H15" s="59"/>
    </row>
    <row r="16" spans="1:11" ht="15.75" x14ac:dyDescent="0.25">
      <c r="A16" s="24"/>
      <c r="B16" s="29" t="s">
        <v>15</v>
      </c>
      <c r="C16" s="21"/>
      <c r="D16" s="21"/>
      <c r="E16" s="21"/>
      <c r="F16" s="22"/>
      <c r="G16" s="24"/>
      <c r="H16" s="59"/>
    </row>
    <row r="17" spans="1:8" x14ac:dyDescent="0.25">
      <c r="A17" s="24"/>
      <c r="B17" s="28"/>
      <c r="C17" s="6"/>
      <c r="D17" s="6" t="s">
        <v>53</v>
      </c>
      <c r="E17" s="9"/>
      <c r="F17" s="10"/>
      <c r="G17" s="24"/>
      <c r="H17" s="59"/>
    </row>
    <row r="18" spans="1:8" x14ac:dyDescent="0.25">
      <c r="A18" s="24"/>
      <c r="B18" s="8" t="s">
        <v>16</v>
      </c>
      <c r="C18" s="6"/>
      <c r="D18" s="6"/>
      <c r="E18" s="9"/>
      <c r="F18" s="11">
        <f>VLOOKUP(K4,Tabel4[[År]:[Sats]],2,FALSE)</f>
        <v>18489</v>
      </c>
      <c r="G18" s="24"/>
      <c r="H18" s="59"/>
    </row>
    <row r="19" spans="1:8" x14ac:dyDescent="0.25">
      <c r="A19" s="24"/>
      <c r="B19" s="8" t="s">
        <v>117</v>
      </c>
      <c r="C19" s="9" t="str">
        <f>(J5-C5)&amp;" / "&amp;J5</f>
        <v>22 / 23</v>
      </c>
      <c r="D19" s="6"/>
      <c r="E19" s="9"/>
      <c r="F19" s="11"/>
      <c r="G19" s="24"/>
      <c r="H19" s="59"/>
    </row>
    <row r="20" spans="1:8" x14ac:dyDescent="0.25">
      <c r="A20" s="24"/>
      <c r="B20" s="28"/>
      <c r="C20" s="6"/>
      <c r="D20" s="6"/>
      <c r="E20" s="9"/>
      <c r="F20" s="11"/>
      <c r="G20" s="24"/>
      <c r="H20" s="59"/>
    </row>
    <row r="21" spans="1:8" x14ac:dyDescent="0.25">
      <c r="A21" s="24"/>
      <c r="B21" s="8" t="s">
        <v>60</v>
      </c>
      <c r="C21" s="70" t="str">
        <f>C19&amp;" af "&amp;DOLLAR(F18,0)</f>
        <v>22 / 23 af 18.489 kr.</v>
      </c>
      <c r="D21" s="70"/>
      <c r="E21" s="9"/>
      <c r="F21" s="11">
        <f>F18*J6/J5</f>
        <v>17685.130434782608</v>
      </c>
      <c r="G21" s="24"/>
      <c r="H21" s="59"/>
    </row>
    <row r="22" spans="1:8" x14ac:dyDescent="0.25">
      <c r="A22" s="24"/>
      <c r="B22" s="8" t="s">
        <v>126</v>
      </c>
      <c r="C22" s="6"/>
      <c r="D22" s="6"/>
      <c r="E22" s="12">
        <f>K12</f>
        <v>20000</v>
      </c>
      <c r="F22" s="10"/>
      <c r="G22" s="24"/>
      <c r="H22" s="59"/>
    </row>
    <row r="23" spans="1:8" x14ac:dyDescent="0.25">
      <c r="A23" s="24"/>
      <c r="B23" s="8" t="s">
        <v>37</v>
      </c>
      <c r="C23" s="13">
        <f>LOOKUP(K4,Tabel4[År],Tabel4[Indtægtsgrænse])</f>
        <v>14686</v>
      </c>
      <c r="D23" s="14" t="s">
        <v>41</v>
      </c>
      <c r="E23" s="12">
        <f>-0.7*MIN(C23,E22)</f>
        <v>-10280.199999999999</v>
      </c>
      <c r="F23" s="10"/>
      <c r="G23" s="24"/>
      <c r="H23" s="59"/>
    </row>
    <row r="24" spans="1:8" x14ac:dyDescent="0.25">
      <c r="A24" s="24"/>
      <c r="B24" s="8" t="s">
        <v>38</v>
      </c>
      <c r="C24" s="13">
        <f>MAX((E22-C23),0)</f>
        <v>5314</v>
      </c>
      <c r="D24" s="14" t="s">
        <v>42</v>
      </c>
      <c r="E24" s="15">
        <f>-0.45*C24</f>
        <v>-2391.3000000000002</v>
      </c>
      <c r="F24" s="10"/>
      <c r="G24" s="24"/>
      <c r="H24" s="59"/>
    </row>
    <row r="25" spans="1:8" x14ac:dyDescent="0.25">
      <c r="A25" s="24"/>
      <c r="B25" s="8" t="s">
        <v>39</v>
      </c>
      <c r="C25" s="6"/>
      <c r="D25" s="6"/>
      <c r="E25" s="7">
        <f>C13</f>
        <v>0</v>
      </c>
      <c r="F25" s="10"/>
      <c r="G25" s="24"/>
      <c r="H25" s="59"/>
    </row>
    <row r="26" spans="1:8" x14ac:dyDescent="0.25">
      <c r="A26" s="24"/>
      <c r="B26" s="8" t="s">
        <v>40</v>
      </c>
      <c r="D26" s="6"/>
      <c r="E26" s="7">
        <f>SUM(E22:E25)</f>
        <v>7328.5000000000009</v>
      </c>
      <c r="F26" s="16">
        <f>-E26</f>
        <v>-7328.5000000000009</v>
      </c>
      <c r="G26" s="24"/>
      <c r="H26" s="59"/>
    </row>
    <row r="27" spans="1:8" x14ac:dyDescent="0.25">
      <c r="A27" s="24"/>
      <c r="B27" s="17" t="s">
        <v>43</v>
      </c>
      <c r="C27" s="5">
        <f>(E22+E25+F21-E26)</f>
        <v>30356.630434782608</v>
      </c>
      <c r="D27" s="4">
        <f>-C7*J6/J5</f>
        <v>-28695.652173913044</v>
      </c>
      <c r="E27" s="5">
        <f>MAX(SUM(C27:D27),0)</f>
        <v>1660.9782608695641</v>
      </c>
      <c r="F27" s="18">
        <f>-E27</f>
        <v>-1660.9782608695641</v>
      </c>
      <c r="G27" s="24"/>
      <c r="H27" s="59"/>
    </row>
    <row r="28" spans="1:8" x14ac:dyDescent="0.25">
      <c r="A28" s="24"/>
      <c r="B28" s="8" t="s">
        <v>44</v>
      </c>
      <c r="C28" s="6"/>
      <c r="D28" s="6"/>
      <c r="E28" s="9"/>
      <c r="F28" s="19">
        <f>SUM(F21:F27)</f>
        <v>8695.652173913044</v>
      </c>
      <c r="G28" s="24"/>
      <c r="H28" s="59"/>
    </row>
    <row r="29" spans="1:8" x14ac:dyDescent="0.25">
      <c r="A29" s="24"/>
      <c r="B29" s="8" t="s">
        <v>50</v>
      </c>
      <c r="C29" s="14">
        <v>0.05</v>
      </c>
      <c r="D29" s="34" t="s">
        <v>128</v>
      </c>
      <c r="E29" s="7">
        <v>500</v>
      </c>
      <c r="F29" s="16">
        <f>-MIN(ROUND(F28*C29,0),500)</f>
        <v>-435</v>
      </c>
      <c r="G29" s="24"/>
      <c r="H29" s="59"/>
    </row>
    <row r="30" spans="1:8" x14ac:dyDescent="0.25">
      <c r="A30" s="24"/>
      <c r="B30" s="8"/>
      <c r="C30" s="6"/>
      <c r="D30" s="6"/>
      <c r="E30" s="9"/>
      <c r="F30" s="16"/>
      <c r="G30" s="24"/>
      <c r="H30" s="59"/>
    </row>
    <row r="31" spans="1:8" x14ac:dyDescent="0.25">
      <c r="A31" s="24"/>
      <c r="B31" s="8" t="s">
        <v>47</v>
      </c>
      <c r="C31" s="6"/>
      <c r="D31" s="6"/>
      <c r="E31" s="23"/>
      <c r="F31" s="16">
        <f>IF(J10&lt;39,(VLOOKUP(K4,Tabel4[[År]:[ATP kom time]],4,FALSE)),ROUND((160.33-J10)*(J6/J5)*VLOOKUP(K4,Tabel4[[År]:[ATP kom time]],5,FALSE),0))</f>
        <v>83</v>
      </c>
      <c r="G31" s="24"/>
      <c r="H31" s="59"/>
    </row>
    <row r="32" spans="1:8" ht="15.75" thickBot="1" x14ac:dyDescent="0.3">
      <c r="A32" s="24"/>
      <c r="B32" s="20"/>
      <c r="C32" s="56"/>
      <c r="D32" s="31"/>
      <c r="E32" s="32"/>
      <c r="F32" s="33"/>
      <c r="G32" s="24"/>
      <c r="H32" s="59"/>
    </row>
    <row r="33" spans="1:8" x14ac:dyDescent="0.25">
      <c r="A33" s="24"/>
      <c r="B33" s="24"/>
      <c r="C33" s="24"/>
      <c r="D33" s="24"/>
      <c r="E33" s="24"/>
      <c r="F33" s="24"/>
      <c r="G33" s="24"/>
      <c r="H33" s="59"/>
    </row>
    <row r="34" spans="1:8" x14ac:dyDescent="0.25">
      <c r="A34" s="24"/>
      <c r="B34" s="24"/>
      <c r="C34" s="24"/>
      <c r="D34" s="24"/>
      <c r="E34" s="24"/>
      <c r="F34" s="24"/>
      <c r="G34" s="24"/>
      <c r="H34" s="60"/>
    </row>
  </sheetData>
  <sheetProtection algorithmName="SHA-512" hashValue="KJ1cDzNOZem4czRbePhp4+1kf8cTGlNlX6p5Dsa0F6O1GMQ6pViBK6Oo72eq35HStJ+q9P3D9wZmG0NC3WOXeQ==" saltValue="k+jFNNYYvh2BSxVntoMfrw==" spinCount="100000" sheet="1" objects="1" scenarios="1" selectLockedCells="1"/>
  <mergeCells count="2">
    <mergeCell ref="B2:E2"/>
    <mergeCell ref="C21:D21"/>
  </mergeCells>
  <dataValidations xWindow="441" yWindow="360" count="6">
    <dataValidation allowBlank="1" showInputMessage="1" showErrorMessage="1" promptTitle="Lønindtægt" prompt="Indtast den samlede indtægt fra fleksjob og evt. øvrige indtægter inkl. pension" sqref="C9" xr:uid="{AED21DF8-F9EB-4932-ADCC-72842E702A25}"/>
    <dataValidation type="decimal" operator="greaterThan" allowBlank="1" showInputMessage="1" showErrorMessage="1" promptTitle="Normalløn" prompt="Indtast normalløn for området" sqref="C7" xr:uid="{50F789B9-D430-46E4-878D-29F351F9129E}">
      <formula1>0</formula1>
    </dataValidation>
    <dataValidation allowBlank="1" showInputMessage="1" showErrorMessage="1" promptTitle="Feriegodtgørelse" prompt="Indtast feriegodtgørelse modtaget i perioden" sqref="C11" xr:uid="{D040EC76-7D0E-4AC6-A555-719141D9EBDB}"/>
    <dataValidation allowBlank="1" showInputMessage="1" showErrorMessage="1" promptTitle="Syge-/barseldagpenge" prompt="Indtast syge- eller barseldagpenge modtaget i perioden, hvis personen ikke modtager løn under sygdom og barsel." sqref="C13" xr:uid="{EE056FE0-CB57-4457-9DC0-D5AE9E98BA7F}"/>
    <dataValidation allowBlank="1" showInputMessage="1" showErrorMessage="1" promptTitle="Arbejdstimer pr. uge" prompt="Indtast den gennemsnitlige ugentlige arbejdstid med tilskud i måneden" sqref="C10" xr:uid="{1AD18F73-6ECB-402A-9C28-FD80AAC7EE1A}"/>
    <dataValidation type="whole" allowBlank="1" showInputMessage="1" showErrorMessage="1" errorTitle="Antal dage uden fleksløntilskud" error="Der kan ikke indtastes flere dage, end der er arbejdsdage i måneden." promptTitle="Antal dage uden fleksjob" prompt="Antal hverdage i måneden, hvor personen ikke skal modtage fleksløntilskud. Det kan være at ydelsen starter eller slutter midt i måneden eller at personen holder ferie med ledighedsydelse." sqref="C5" xr:uid="{470B2D50-F034-40BF-B410-AFD1940CAD65}">
      <formula1>0</formula1>
      <formula2>J5</formula2>
    </dataValidation>
  </dataValidations>
  <pageMargins left="0.7" right="0.7" top="0.75" bottom="0.75" header="0.3" footer="0.3"/>
  <pageSetup paperSize="9" orientation="portrait" r:id="rId1"/>
  <headerFooter>
    <oddFooter>&amp;L&amp;1#&amp;"Calibri"&amp;10&amp;K000000Internal - KMD A/S</oddFooter>
  </headerFooter>
  <extLst>
    <ext xmlns:x14="http://schemas.microsoft.com/office/spreadsheetml/2009/9/main" uri="{CCE6A557-97BC-4b89-ADB6-D9C93CAAB3DF}">
      <x14:dataValidations xmlns:xm="http://schemas.microsoft.com/office/excel/2006/main" xWindow="441" yWindow="360" count="2">
        <x14:dataValidation type="list" allowBlank="1" showInputMessage="1" showErrorMessage="1" xr:uid="{E8857CE0-FB6C-4413-B68E-3D62985A84A4}">
          <x14:formula1>
            <xm:f>Tabeller!$A$2:$A$13</xm:f>
          </x14:formula1>
          <xm:sqref>C4</xm:sqref>
        </x14:dataValidation>
        <x14:dataValidation type="list" allowBlank="1" showInputMessage="1" showErrorMessage="1" xr:uid="{978575CC-7E73-440C-8564-AB85E9C277C6}">
          <x14:formula1>
            <xm:f>Tabeller!$O$2:$O$6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ED115-B29C-48B4-9690-9A0DD483A87B}">
  <dimension ref="A1:L36"/>
  <sheetViews>
    <sheetView zoomScale="90" zoomScaleNormal="90" workbookViewId="0">
      <selection activeCell="H25" sqref="H25"/>
    </sheetView>
  </sheetViews>
  <sheetFormatPr defaultRowHeight="15" x14ac:dyDescent="0.25"/>
  <cols>
    <col min="1" max="1" width="4" customWidth="1"/>
    <col min="2" max="2" width="36.140625" customWidth="1"/>
    <col min="3" max="3" width="14.42578125" customWidth="1"/>
    <col min="4" max="4" width="11.28515625" customWidth="1"/>
    <col min="5" max="5" width="11" customWidth="1"/>
    <col min="6" max="6" width="12.42578125" customWidth="1"/>
    <col min="7" max="7" width="3.85546875" customWidth="1"/>
    <col min="8" max="8" width="67.140625" customWidth="1"/>
    <col min="9" max="9" width="10.5703125" bestFit="1" customWidth="1"/>
    <col min="10" max="11" width="9.85546875" style="63" hidden="1" customWidth="1"/>
    <col min="12" max="12" width="10.5703125" style="63" hidden="1" customWidth="1"/>
  </cols>
  <sheetData>
    <row r="1" spans="1:12" x14ac:dyDescent="0.25">
      <c r="A1" s="24"/>
      <c r="B1" s="24"/>
      <c r="C1" s="24"/>
      <c r="D1" s="24"/>
      <c r="E1" s="24"/>
      <c r="F1" s="24"/>
      <c r="G1" s="24"/>
      <c r="H1" s="61"/>
    </row>
    <row r="2" spans="1:12" s="36" customFormat="1" ht="18.75" x14ac:dyDescent="0.3">
      <c r="A2" s="35"/>
      <c r="B2" s="69" t="s">
        <v>65</v>
      </c>
      <c r="C2" s="69"/>
      <c r="D2" s="69"/>
      <c r="E2" s="69"/>
      <c r="F2" s="35"/>
      <c r="G2" s="35"/>
      <c r="H2" s="62" t="s">
        <v>123</v>
      </c>
      <c r="J2" s="64"/>
      <c r="K2" s="64"/>
      <c r="L2" s="64"/>
    </row>
    <row r="3" spans="1:12" x14ac:dyDescent="0.25">
      <c r="A3" s="24"/>
      <c r="B3" s="24"/>
      <c r="C3" s="24"/>
      <c r="D3" s="24"/>
      <c r="E3" s="26"/>
      <c r="F3" s="26"/>
      <c r="G3" s="24"/>
      <c r="H3" s="59"/>
    </row>
    <row r="4" spans="1:12" x14ac:dyDescent="0.25">
      <c r="A4" s="24"/>
      <c r="B4" s="24" t="s">
        <v>51</v>
      </c>
      <c r="C4" s="49" t="s">
        <v>9</v>
      </c>
      <c r="D4" s="49">
        <v>2017</v>
      </c>
      <c r="E4" s="26"/>
      <c r="F4" s="26"/>
      <c r="G4" s="24"/>
      <c r="H4" s="59"/>
      <c r="J4" s="65">
        <f>VLOOKUP(C4,Tabel2[[Måneder]:[Kolonne1]],2,FALSE)</f>
        <v>8</v>
      </c>
      <c r="K4" s="65" t="str">
        <f>IF(D4=2017,IF(J4&lt;7,"2017-1","2017-2"),D4)</f>
        <v>2017-2</v>
      </c>
      <c r="L4" s="65"/>
    </row>
    <row r="5" spans="1:12" x14ac:dyDescent="0.25">
      <c r="A5" s="24"/>
      <c r="B5" s="24" t="s">
        <v>66</v>
      </c>
      <c r="C5" s="48">
        <v>1</v>
      </c>
      <c r="D5" s="24"/>
      <c r="E5" s="26"/>
      <c r="F5" s="26"/>
      <c r="G5" s="24"/>
      <c r="H5" s="59"/>
      <c r="J5" s="66">
        <f>VLOOKUP($C$4,Tabel2[],$D$4-2012,FALSE)</f>
        <v>23</v>
      </c>
      <c r="K5" s="65" t="s">
        <v>62</v>
      </c>
      <c r="L5" s="65"/>
    </row>
    <row r="6" spans="1:12" x14ac:dyDescent="0.25">
      <c r="A6" s="24"/>
      <c r="B6" s="24"/>
      <c r="C6" s="24"/>
      <c r="D6" s="24"/>
      <c r="E6" s="26"/>
      <c r="F6" s="26"/>
      <c r="G6" s="24"/>
      <c r="H6" s="59"/>
      <c r="J6" s="65">
        <f>J5-C5</f>
        <v>22</v>
      </c>
      <c r="K6" s="65" t="s">
        <v>110</v>
      </c>
      <c r="L6" s="65"/>
    </row>
    <row r="7" spans="1:12" x14ac:dyDescent="0.25">
      <c r="A7" s="24"/>
      <c r="B7" s="24" t="s">
        <v>68</v>
      </c>
      <c r="C7" s="50" t="s">
        <v>88</v>
      </c>
      <c r="D7" s="24" t="str">
        <f>VLOOKUP(K7,Tabel3[],2,FALSE)</f>
        <v>§ 74 a, stk. 2</v>
      </c>
      <c r="E7" s="26"/>
      <c r="F7" s="26"/>
      <c r="G7" s="24"/>
      <c r="H7" s="59"/>
      <c r="J7" s="65">
        <f>VLOOKUP(K7,Tabeller!J2:M11,3,FALSE)</f>
        <v>7</v>
      </c>
      <c r="K7" s="71" t="str">
        <f>C7&amp;C8</f>
        <v>89%-dagp.NEJ</v>
      </c>
      <c r="L7" s="65"/>
    </row>
    <row r="8" spans="1:12" x14ac:dyDescent="0.25">
      <c r="A8" s="24"/>
      <c r="B8" s="24" t="s">
        <v>100</v>
      </c>
      <c r="C8" s="53" t="s">
        <v>106</v>
      </c>
      <c r="D8" s="24"/>
      <c r="E8" s="26"/>
      <c r="F8" s="26"/>
      <c r="G8" s="24"/>
      <c r="H8" s="59"/>
      <c r="J8" s="65">
        <f>VLOOKUP(C8,Tabeller!J8:L9,3,FALSE)</f>
        <v>9</v>
      </c>
      <c r="K8" s="65">
        <f>VLOOKUP(K4,Tabeller!A17:I23,J8,FALSE)</f>
        <v>11143</v>
      </c>
      <c r="L8" s="65"/>
    </row>
    <row r="9" spans="1:12" x14ac:dyDescent="0.25">
      <c r="A9" s="24"/>
      <c r="B9" s="24"/>
      <c r="C9" s="25"/>
      <c r="D9" s="24"/>
      <c r="E9" s="26"/>
      <c r="F9" s="26"/>
      <c r="G9" s="24"/>
      <c r="H9" s="59"/>
      <c r="J9" s="65"/>
      <c r="K9" s="65"/>
      <c r="L9" s="65"/>
    </row>
    <row r="10" spans="1:12" x14ac:dyDescent="0.25">
      <c r="A10" s="24"/>
      <c r="B10" s="24" t="s">
        <v>113</v>
      </c>
      <c r="C10" s="50">
        <v>0</v>
      </c>
      <c r="D10" s="24" t="s">
        <v>93</v>
      </c>
      <c r="E10" s="26"/>
      <c r="F10" s="26"/>
      <c r="G10" s="24"/>
      <c r="H10" s="59"/>
      <c r="J10" s="65"/>
      <c r="K10" s="65"/>
      <c r="L10" s="65"/>
    </row>
    <row r="11" spans="1:12" x14ac:dyDescent="0.25">
      <c r="A11" s="24"/>
      <c r="B11" s="24" t="s">
        <v>114</v>
      </c>
      <c r="C11" s="50">
        <v>100</v>
      </c>
      <c r="D11" s="24" t="s">
        <v>95</v>
      </c>
      <c r="E11" s="26"/>
      <c r="F11" s="26"/>
      <c r="G11" s="24"/>
      <c r="H11" s="59"/>
      <c r="J11" s="65"/>
      <c r="K11" s="65"/>
      <c r="L11" s="65"/>
    </row>
    <row r="12" spans="1:12" x14ac:dyDescent="0.25">
      <c r="A12" s="24"/>
      <c r="B12" s="24"/>
      <c r="C12" s="43"/>
      <c r="D12" s="24"/>
      <c r="E12" s="26"/>
      <c r="F12" s="26"/>
      <c r="G12" s="24"/>
      <c r="H12" s="59"/>
      <c r="J12" s="65"/>
      <c r="K12" s="65"/>
      <c r="L12" s="65"/>
    </row>
    <row r="13" spans="1:12" x14ac:dyDescent="0.25">
      <c r="A13" s="24"/>
      <c r="B13" s="24" t="s">
        <v>96</v>
      </c>
      <c r="C13" s="54">
        <v>0</v>
      </c>
      <c r="D13" s="24" t="s">
        <v>97</v>
      </c>
      <c r="E13" s="26"/>
      <c r="F13" s="26"/>
      <c r="G13" s="24"/>
      <c r="H13" s="59"/>
      <c r="J13" s="65">
        <f>VLOOKUP(J7,Tabel3[[kolonne]:[Kolonne2]],2,FALSE)</f>
        <v>10</v>
      </c>
      <c r="K13" s="65"/>
      <c r="L13" s="65"/>
    </row>
    <row r="14" spans="1:12" x14ac:dyDescent="0.25">
      <c r="A14" s="24"/>
      <c r="B14" s="24"/>
      <c r="C14" s="24"/>
      <c r="D14" s="24"/>
      <c r="E14" s="27"/>
      <c r="F14" s="27"/>
      <c r="G14" s="27"/>
      <c r="H14" s="59"/>
    </row>
    <row r="15" spans="1:12" x14ac:dyDescent="0.25">
      <c r="A15" s="24"/>
      <c r="B15" s="24" t="s">
        <v>45</v>
      </c>
      <c r="C15" s="54">
        <v>3000</v>
      </c>
      <c r="D15" s="24"/>
      <c r="E15" s="27"/>
      <c r="F15" s="27"/>
      <c r="G15" s="27"/>
      <c r="H15" s="59"/>
    </row>
    <row r="16" spans="1:12" x14ac:dyDescent="0.25">
      <c r="A16" s="24"/>
      <c r="B16" s="24" t="s">
        <v>46</v>
      </c>
      <c r="C16" s="52">
        <v>0.35</v>
      </c>
      <c r="D16" s="24"/>
      <c r="E16" s="27"/>
      <c r="F16" s="27"/>
      <c r="G16" s="27"/>
      <c r="H16" s="59"/>
    </row>
    <row r="17" spans="1:8" ht="15.75" thickBot="1" x14ac:dyDescent="0.3">
      <c r="A17" s="24"/>
      <c r="B17" s="24"/>
      <c r="C17" s="24"/>
      <c r="D17" s="24"/>
      <c r="E17" s="27"/>
      <c r="F17" s="27"/>
      <c r="G17" s="27"/>
      <c r="H17" s="59"/>
    </row>
    <row r="18" spans="1:8" ht="15.75" x14ac:dyDescent="0.25">
      <c r="A18" s="24"/>
      <c r="B18" s="29" t="s">
        <v>67</v>
      </c>
      <c r="C18" s="45"/>
      <c r="D18" s="21"/>
      <c r="E18" s="21"/>
      <c r="F18" s="22"/>
      <c r="G18" s="24"/>
      <c r="H18" s="59"/>
    </row>
    <row r="19" spans="1:8" x14ac:dyDescent="0.25">
      <c r="A19" s="24"/>
      <c r="B19" s="28"/>
      <c r="C19" s="6"/>
      <c r="D19" s="6" t="s">
        <v>53</v>
      </c>
      <c r="E19" s="9"/>
      <c r="F19" s="10"/>
      <c r="G19" s="24"/>
      <c r="H19" s="59"/>
    </row>
    <row r="20" spans="1:8" x14ac:dyDescent="0.25">
      <c r="A20" s="24"/>
      <c r="B20" s="8" t="s">
        <v>92</v>
      </c>
      <c r="C20" s="6"/>
      <c r="D20" s="6"/>
      <c r="E20" s="9"/>
      <c r="F20" s="16">
        <f>VLOOKUP(K4,Tabel4[],J7,FALSE)</f>
        <v>16379</v>
      </c>
      <c r="G20" s="24"/>
      <c r="H20" s="59"/>
    </row>
    <row r="21" spans="1:8" x14ac:dyDescent="0.25">
      <c r="A21" s="24"/>
      <c r="B21" s="8" t="s">
        <v>117</v>
      </c>
      <c r="C21" s="9" t="str">
        <f>J5-C5&amp;" / "&amp;J5</f>
        <v>22 / 23</v>
      </c>
      <c r="D21" s="6"/>
      <c r="E21" s="9"/>
      <c r="F21" s="16"/>
      <c r="G21" s="24"/>
      <c r="H21" s="59"/>
    </row>
    <row r="22" spans="1:8" x14ac:dyDescent="0.25">
      <c r="A22" s="24"/>
      <c r="B22" s="28"/>
      <c r="C22" s="6"/>
      <c r="D22" s="6"/>
      <c r="E22" s="9"/>
      <c r="F22" s="16"/>
      <c r="G22" s="24"/>
      <c r="H22" s="59"/>
    </row>
    <row r="23" spans="1:8" x14ac:dyDescent="0.25">
      <c r="A23" s="24"/>
      <c r="B23" s="8" t="s">
        <v>109</v>
      </c>
      <c r="C23" s="70" t="str">
        <f>C21&amp;" af "&amp;DOLLAR(F20,2)</f>
        <v>22 / 23 af 16.379,00 kr.</v>
      </c>
      <c r="D23" s="70"/>
      <c r="E23" s="9"/>
      <c r="F23" s="16">
        <f>F20*(J5-C5)/J5</f>
        <v>15666.869565217392</v>
      </c>
      <c r="G23" s="24"/>
      <c r="H23" s="59"/>
    </row>
    <row r="24" spans="1:8" x14ac:dyDescent="0.25">
      <c r="A24" s="24"/>
      <c r="B24" s="8" t="s">
        <v>36</v>
      </c>
      <c r="C24" s="6"/>
      <c r="D24" s="6"/>
      <c r="E24" s="12">
        <f>C10</f>
        <v>0</v>
      </c>
      <c r="F24" s="10"/>
      <c r="G24" s="24"/>
      <c r="H24" s="59"/>
    </row>
    <row r="25" spans="1:8" x14ac:dyDescent="0.25">
      <c r="A25" s="24"/>
      <c r="B25" s="8" t="s">
        <v>37</v>
      </c>
      <c r="C25" s="13">
        <f>LOOKUP(K4,Tabel4[År],Tabel4[Indtægtsgrænse])</f>
        <v>14116</v>
      </c>
      <c r="D25" s="14" t="s">
        <v>111</v>
      </c>
      <c r="E25" s="12">
        <f>-0.7*MIN(C25,E24)</f>
        <v>0</v>
      </c>
      <c r="F25" s="10"/>
      <c r="G25" s="24"/>
      <c r="H25" s="59"/>
    </row>
    <row r="26" spans="1:8" x14ac:dyDescent="0.25">
      <c r="A26" s="24"/>
      <c r="B26" s="8" t="s">
        <v>38</v>
      </c>
      <c r="C26" s="13">
        <f>MAX((E24-C25),0)</f>
        <v>0</v>
      </c>
      <c r="D26" s="14" t="s">
        <v>112</v>
      </c>
      <c r="E26" s="15">
        <f>-0.45*C26</f>
        <v>0</v>
      </c>
      <c r="F26" s="10"/>
      <c r="G26" s="24"/>
      <c r="H26" s="59"/>
    </row>
    <row r="27" spans="1:8" x14ac:dyDescent="0.25">
      <c r="A27" s="24"/>
      <c r="B27" s="8" t="s">
        <v>94</v>
      </c>
      <c r="C27" s="6"/>
      <c r="D27" s="6"/>
      <c r="E27" s="7">
        <f>C11</f>
        <v>100</v>
      </c>
      <c r="F27" s="10"/>
      <c r="G27" s="24"/>
      <c r="H27" s="59"/>
    </row>
    <row r="28" spans="1:8" x14ac:dyDescent="0.25">
      <c r="A28" s="24"/>
      <c r="B28" s="8" t="s">
        <v>40</v>
      </c>
      <c r="C28" s="6"/>
      <c r="D28" s="6"/>
      <c r="E28" s="7">
        <f>SUM(E24:E27)</f>
        <v>100</v>
      </c>
      <c r="F28" s="16">
        <f>-E28</f>
        <v>-100</v>
      </c>
      <c r="G28" s="24"/>
      <c r="H28" s="59"/>
    </row>
    <row r="29" spans="1:8" x14ac:dyDescent="0.25">
      <c r="A29" s="24"/>
      <c r="B29" s="17" t="s">
        <v>98</v>
      </c>
      <c r="C29" s="44" t="str">
        <f>C13&amp;" dage á "</f>
        <v xml:space="preserve">0 dage á </v>
      </c>
      <c r="D29" s="55">
        <f>VLOOKUP(K4,Tabeller!A17:N24,J13,FALSE)*J6/J5</f>
        <v>723.13043478260875</v>
      </c>
      <c r="E29" s="5"/>
      <c r="F29" s="18">
        <f>-D29*C13</f>
        <v>0</v>
      </c>
      <c r="G29" s="24"/>
      <c r="H29" s="59"/>
    </row>
    <row r="30" spans="1:8" x14ac:dyDescent="0.25">
      <c r="A30" s="24"/>
      <c r="B30" s="8" t="s">
        <v>44</v>
      </c>
      <c r="C30" s="6"/>
      <c r="D30" s="6"/>
      <c r="E30" s="9"/>
      <c r="F30" s="16">
        <f>SUM(F23:F29)</f>
        <v>15566.869565217392</v>
      </c>
      <c r="G30" s="24"/>
      <c r="H30" s="59"/>
    </row>
    <row r="31" spans="1:8" x14ac:dyDescent="0.25">
      <c r="A31" s="24"/>
      <c r="B31" s="8" t="s">
        <v>50</v>
      </c>
      <c r="C31" s="14" t="s">
        <v>53</v>
      </c>
      <c r="D31" s="47" t="s">
        <v>53</v>
      </c>
      <c r="E31" s="7" t="s">
        <v>53</v>
      </c>
      <c r="F31" s="16">
        <f>IF(F30&gt;=K8*J6/J5,ROUND(-VLOOKUP(K4,Tabeller!A17:M23,13,FALSE)*J6/J5,0),0)</f>
        <v>-91</v>
      </c>
      <c r="G31" s="24"/>
      <c r="H31" s="59"/>
    </row>
    <row r="32" spans="1:8" x14ac:dyDescent="0.25">
      <c r="A32" s="24"/>
      <c r="B32" s="8"/>
      <c r="C32" s="6"/>
      <c r="D32" s="6"/>
      <c r="E32" s="9"/>
      <c r="F32" s="16"/>
      <c r="G32" s="24"/>
      <c r="H32" s="59"/>
    </row>
    <row r="33" spans="1:8" x14ac:dyDescent="0.25">
      <c r="A33" s="24"/>
      <c r="B33" s="8" t="s">
        <v>47</v>
      </c>
      <c r="C33" s="6"/>
      <c r="D33" s="6"/>
      <c r="E33" s="23"/>
      <c r="F33" s="16">
        <f>IF(F31&lt;0,ROUND(VLOOKUP(K4,Tabeller!A17:N23,14,FALSE)*J6/J5,0),0)</f>
        <v>181</v>
      </c>
      <c r="G33" s="24"/>
      <c r="H33" s="59"/>
    </row>
    <row r="34" spans="1:8" ht="15.75" thickBot="1" x14ac:dyDescent="0.3">
      <c r="A34" s="24"/>
      <c r="B34" s="20"/>
      <c r="C34" s="56"/>
      <c r="D34" s="31"/>
      <c r="E34" s="32"/>
      <c r="F34" s="46"/>
      <c r="G34" s="24"/>
      <c r="H34" s="59"/>
    </row>
    <row r="35" spans="1:8" x14ac:dyDescent="0.25">
      <c r="A35" s="24"/>
      <c r="B35" s="24"/>
      <c r="C35" s="24"/>
      <c r="D35" s="24"/>
      <c r="E35" s="24"/>
      <c r="F35" s="24"/>
      <c r="G35" s="24"/>
      <c r="H35" s="59"/>
    </row>
    <row r="36" spans="1:8" x14ac:dyDescent="0.25">
      <c r="A36" s="24"/>
      <c r="B36" s="24"/>
      <c r="C36" s="24"/>
      <c r="D36" s="24"/>
      <c r="E36" s="24"/>
      <c r="F36" s="24"/>
      <c r="G36" s="24"/>
      <c r="H36" s="60"/>
    </row>
  </sheetData>
  <sheetProtection algorithmName="SHA-512" hashValue="4R4nN3+pBHtTTrAg2YmKDwVdZWtcCL8TlFSH/CeYgp5Ieowp98TJQMDiiHTZIMTm9dVPzS1IuXCx5rgXLnLIcA==" saltValue="U0BV6r1NpetnOX1S9A+9lQ==" spinCount="100000" sheet="1" objects="1" scenarios="1" selectLockedCells="1"/>
  <mergeCells count="2">
    <mergeCell ref="B2:E2"/>
    <mergeCell ref="C23:D23"/>
  </mergeCells>
  <dataValidations xWindow="502" yWindow="321" count="4">
    <dataValidation allowBlank="1" showInputMessage="1" showErrorMessage="1" promptTitle="Lønindtægt" prompt="Indtast den samlede indtægt inkl. pension" sqref="C10" xr:uid="{8E28CDF8-AFC4-4EAA-A953-E0A6F36D108C}"/>
    <dataValidation allowBlank="1" showInputMessage="1" showErrorMessage="1" promptTitle="Feriepenge" prompt="Indtast feriegodtgørelse eller anden type af feriepenge modtaget i måneden" sqref="C11" xr:uid="{C19C2200-A239-45C9-A318-E304D94EFC86}"/>
    <dataValidation type="whole" allowBlank="1" showInputMessage="1" showErrorMessage="1" errorTitle="Midlertidig afbrydelse" error="Der kan ikke indtastes flere dage, end der er arbejdsdage i måneden." promptTitle="Midlertidig afbrydelse" prompt="Antal hverdage i måneden, hvor personen ikke skal modtage ledighedsydelse. Det kan være at ydelsen starter eller slutter midt i måneden eller at der er en midlertidig afbrydelse." sqref="C5" xr:uid="{E14A01C4-C12C-4D71-AA40-797315002FFC}">
      <formula1>0</formula1>
      <formula2>J5</formula2>
    </dataValidation>
    <dataValidation type="whole" allowBlank="1" showInputMessage="1" showErrorMessage="1" sqref="C13" xr:uid="{AC11FBB3-B013-4F19-A423-4409129B213E}">
      <formula1>0</formula1>
      <formula2>J6</formula2>
    </dataValidation>
  </dataValidations>
  <pageMargins left="0.7" right="0.7" top="0.75" bottom="0.75" header="0.3" footer="0.3"/>
  <pageSetup paperSize="9" orientation="portrait" r:id="rId1"/>
  <headerFooter>
    <oddFooter>&amp;L&amp;1#&amp;"Calibri"&amp;10&amp;K000000Internal - KMD A/S</oddFooter>
  </headerFooter>
  <extLst>
    <ext xmlns:x14="http://schemas.microsoft.com/office/spreadsheetml/2009/9/main" uri="{CCE6A557-97BC-4b89-ADB6-D9C93CAAB3DF}">
      <x14:dataValidations xmlns:xm="http://schemas.microsoft.com/office/excel/2006/main" xWindow="502" yWindow="321" count="4">
        <x14:dataValidation type="list" allowBlank="1" showInputMessage="1" showErrorMessage="1" xr:uid="{955AB925-9048-4DEC-8F28-87904A90B9DB}">
          <x14:formula1>
            <xm:f>Tabeller!$A$2:$A$13</xm:f>
          </x14:formula1>
          <xm:sqref>C4</xm:sqref>
        </x14:dataValidation>
        <x14:dataValidation type="list" allowBlank="1" showInputMessage="1" showErrorMessage="1" xr:uid="{6F19E547-5DFE-4B19-900E-B1E0C4C3B11F}">
          <x14:formula1>
            <xm:f>Tabeller!$O$2:$O$6</xm:f>
          </x14:formula1>
          <xm:sqref>D4</xm:sqref>
        </x14:dataValidation>
        <x14:dataValidation type="list" operator="greaterThan" allowBlank="1" showInputMessage="1" showErrorMessage="1" promptTitle="Satsvalg" prompt="Angiv sats for ledigehedsydelse. 89% af dagpenge eller kontanthjælp." xr:uid="{912BDC13-64D1-4E2C-99C0-87BCD0A7DCB2}">
          <x14:formula1>
            <xm:f>Tabeller!$J$2:$J$3</xm:f>
          </x14:formula1>
          <xm:sqref>C7</xm:sqref>
        </x14:dataValidation>
        <x14:dataValidation type="list" operator="greaterThan" allowBlank="1" showInputMessage="1" showErrorMessage="1" promptTitle="Forsørger" prompt="Angiv om personen er forsørger 'JA' eller ej-forsørger 'NEJ'" xr:uid="{E7A76387-8A28-4FB0-9A98-798BF026CC0A}">
          <x14:formula1>
            <xm:f>Tabeller!$J$8:$J$9</xm:f>
          </x14:formula1>
          <xm:sqref>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6C0CD-BB3F-4472-83A0-CFDA9F422A0D}">
  <dimension ref="A1:R47"/>
  <sheetViews>
    <sheetView workbookViewId="0">
      <selection activeCell="J30" sqref="J30"/>
    </sheetView>
  </sheetViews>
  <sheetFormatPr defaultRowHeight="15" x14ac:dyDescent="0.25"/>
  <cols>
    <col min="1" max="1" width="24.5703125" customWidth="1"/>
    <col min="2" max="3" width="12.42578125" customWidth="1"/>
    <col min="4" max="4" width="11.5703125" bestFit="1" customWidth="1"/>
    <col min="5" max="5" width="11.85546875" customWidth="1"/>
    <col min="6" max="6" width="12.42578125" customWidth="1"/>
    <col min="7" max="7" width="14.7109375" customWidth="1"/>
    <col min="8" max="8" width="13.28515625" customWidth="1"/>
    <col min="9" max="9" width="11.28515625" customWidth="1"/>
    <col min="10" max="10" width="15.42578125" customWidth="1"/>
    <col min="11" max="11" width="12.5703125" customWidth="1"/>
    <col min="12" max="12" width="11" customWidth="1"/>
  </cols>
  <sheetData>
    <row r="1" spans="1:18" x14ac:dyDescent="0.25">
      <c r="A1" s="1" t="s">
        <v>1</v>
      </c>
      <c r="B1" t="s">
        <v>59</v>
      </c>
      <c r="C1" t="s">
        <v>30</v>
      </c>
      <c r="D1" t="s">
        <v>14</v>
      </c>
      <c r="E1" t="s">
        <v>31</v>
      </c>
      <c r="F1" t="s">
        <v>32</v>
      </c>
      <c r="G1" t="s">
        <v>34</v>
      </c>
      <c r="H1" t="s">
        <v>35</v>
      </c>
      <c r="J1" t="s">
        <v>17</v>
      </c>
      <c r="K1" t="s">
        <v>59</v>
      </c>
      <c r="L1" t="s">
        <v>87</v>
      </c>
      <c r="M1" t="s">
        <v>99</v>
      </c>
      <c r="O1" t="s">
        <v>0</v>
      </c>
      <c r="R1" t="s">
        <v>55</v>
      </c>
    </row>
    <row r="2" spans="1:18" x14ac:dyDescent="0.25">
      <c r="A2" t="s">
        <v>2</v>
      </c>
      <c r="B2">
        <v>1</v>
      </c>
      <c r="C2">
        <v>22</v>
      </c>
      <c r="D2">
        <v>21</v>
      </c>
      <c r="E2">
        <v>22</v>
      </c>
      <c r="F2">
        <v>23</v>
      </c>
      <c r="G2">
        <v>23</v>
      </c>
      <c r="H2">
        <v>23</v>
      </c>
      <c r="J2" s="42" t="s">
        <v>88</v>
      </c>
      <c r="K2" t="s">
        <v>89</v>
      </c>
      <c r="L2">
        <v>7</v>
      </c>
      <c r="M2">
        <v>10</v>
      </c>
      <c r="O2">
        <v>2015</v>
      </c>
      <c r="R2">
        <v>0</v>
      </c>
    </row>
    <row r="3" spans="1:18" x14ac:dyDescent="0.25">
      <c r="A3" t="s">
        <v>3</v>
      </c>
      <c r="B3">
        <v>2</v>
      </c>
      <c r="C3">
        <v>20</v>
      </c>
      <c r="D3">
        <v>21</v>
      </c>
      <c r="E3">
        <v>20</v>
      </c>
      <c r="F3">
        <v>20</v>
      </c>
      <c r="G3">
        <v>20</v>
      </c>
      <c r="H3">
        <v>20</v>
      </c>
      <c r="J3" t="s">
        <v>102</v>
      </c>
      <c r="K3" t="s">
        <v>101</v>
      </c>
      <c r="O3">
        <v>2016</v>
      </c>
      <c r="R3">
        <v>1</v>
      </c>
    </row>
    <row r="4" spans="1:18" x14ac:dyDescent="0.25">
      <c r="A4" t="s">
        <v>4</v>
      </c>
      <c r="B4">
        <v>3</v>
      </c>
      <c r="C4">
        <v>22</v>
      </c>
      <c r="D4">
        <v>22</v>
      </c>
      <c r="E4">
        <v>23</v>
      </c>
      <c r="F4">
        <v>22</v>
      </c>
      <c r="G4">
        <v>21</v>
      </c>
      <c r="H4">
        <v>22</v>
      </c>
      <c r="J4" s="42" t="s">
        <v>107</v>
      </c>
      <c r="K4" t="s">
        <v>89</v>
      </c>
      <c r="L4">
        <v>7</v>
      </c>
      <c r="M4">
        <v>10</v>
      </c>
      <c r="O4">
        <v>2017</v>
      </c>
      <c r="R4">
        <v>2</v>
      </c>
    </row>
    <row r="5" spans="1:18" x14ac:dyDescent="0.25">
      <c r="A5" t="s">
        <v>5</v>
      </c>
      <c r="B5">
        <v>4</v>
      </c>
      <c r="C5">
        <v>22</v>
      </c>
      <c r="D5">
        <v>21</v>
      </c>
      <c r="E5">
        <v>20</v>
      </c>
      <c r="F5">
        <v>21</v>
      </c>
      <c r="G5">
        <v>22</v>
      </c>
      <c r="H5">
        <v>22</v>
      </c>
      <c r="J5" s="42" t="s">
        <v>108</v>
      </c>
      <c r="K5" t="s">
        <v>89</v>
      </c>
      <c r="L5">
        <v>7</v>
      </c>
      <c r="M5">
        <v>10</v>
      </c>
      <c r="O5">
        <v>2018</v>
      </c>
      <c r="R5">
        <v>3</v>
      </c>
    </row>
    <row r="6" spans="1:18" x14ac:dyDescent="0.25">
      <c r="A6" t="s">
        <v>6</v>
      </c>
      <c r="B6">
        <v>5</v>
      </c>
      <c r="C6">
        <v>21</v>
      </c>
      <c r="D6">
        <v>22</v>
      </c>
      <c r="E6">
        <v>23</v>
      </c>
      <c r="F6">
        <v>23</v>
      </c>
      <c r="G6">
        <v>23</v>
      </c>
      <c r="H6">
        <v>21</v>
      </c>
      <c r="J6" t="s">
        <v>103</v>
      </c>
      <c r="K6" t="s">
        <v>90</v>
      </c>
      <c r="L6">
        <v>8</v>
      </c>
      <c r="M6">
        <v>11</v>
      </c>
      <c r="O6">
        <v>2019</v>
      </c>
      <c r="R6">
        <v>4</v>
      </c>
    </row>
    <row r="7" spans="1:18" x14ac:dyDescent="0.25">
      <c r="A7" t="s">
        <v>7</v>
      </c>
      <c r="B7">
        <v>6</v>
      </c>
      <c r="C7">
        <v>22</v>
      </c>
      <c r="D7">
        <v>22</v>
      </c>
      <c r="E7">
        <v>22</v>
      </c>
      <c r="F7">
        <v>21</v>
      </c>
      <c r="G7">
        <v>20</v>
      </c>
      <c r="H7">
        <v>22</v>
      </c>
      <c r="J7" t="s">
        <v>104</v>
      </c>
      <c r="K7" t="s">
        <v>91</v>
      </c>
      <c r="L7">
        <v>9</v>
      </c>
      <c r="M7">
        <v>12</v>
      </c>
      <c r="O7">
        <v>2020</v>
      </c>
      <c r="R7">
        <v>5</v>
      </c>
    </row>
    <row r="8" spans="1:18" x14ac:dyDescent="0.25">
      <c r="A8" t="s">
        <v>8</v>
      </c>
      <c r="B8">
        <v>7</v>
      </c>
      <c r="C8">
        <v>23</v>
      </c>
      <c r="D8">
        <v>21</v>
      </c>
      <c r="E8">
        <v>21</v>
      </c>
      <c r="F8">
        <v>22</v>
      </c>
      <c r="G8">
        <v>23</v>
      </c>
      <c r="H8">
        <v>23</v>
      </c>
      <c r="J8" t="s">
        <v>105</v>
      </c>
      <c r="L8">
        <v>8</v>
      </c>
      <c r="R8">
        <v>6</v>
      </c>
    </row>
    <row r="9" spans="1:18" x14ac:dyDescent="0.25">
      <c r="A9" t="s">
        <v>9</v>
      </c>
      <c r="B9">
        <v>8</v>
      </c>
      <c r="C9">
        <v>21</v>
      </c>
      <c r="D9">
        <v>23</v>
      </c>
      <c r="E9">
        <v>23</v>
      </c>
      <c r="F9">
        <v>23</v>
      </c>
      <c r="G9">
        <v>22</v>
      </c>
      <c r="H9">
        <v>21</v>
      </c>
      <c r="J9" t="s">
        <v>106</v>
      </c>
      <c r="L9">
        <v>9</v>
      </c>
      <c r="R9">
        <v>7</v>
      </c>
    </row>
    <row r="10" spans="1:18" x14ac:dyDescent="0.25">
      <c r="A10" t="s">
        <v>10</v>
      </c>
      <c r="B10">
        <v>9</v>
      </c>
      <c r="C10">
        <v>22</v>
      </c>
      <c r="D10">
        <v>22</v>
      </c>
      <c r="E10">
        <v>21</v>
      </c>
      <c r="F10">
        <v>20</v>
      </c>
      <c r="G10">
        <v>21</v>
      </c>
      <c r="H10">
        <v>22</v>
      </c>
      <c r="R10">
        <v>8</v>
      </c>
    </row>
    <row r="11" spans="1:18" x14ac:dyDescent="0.25">
      <c r="A11" t="s">
        <v>11</v>
      </c>
      <c r="B11">
        <v>10</v>
      </c>
      <c r="C11">
        <v>22</v>
      </c>
      <c r="D11">
        <v>21</v>
      </c>
      <c r="E11">
        <v>22</v>
      </c>
      <c r="F11">
        <v>23</v>
      </c>
      <c r="G11">
        <v>23</v>
      </c>
      <c r="H11">
        <v>22</v>
      </c>
      <c r="R11">
        <v>9</v>
      </c>
    </row>
    <row r="12" spans="1:18" x14ac:dyDescent="0.25">
      <c r="A12" t="s">
        <v>12</v>
      </c>
      <c r="B12">
        <v>11</v>
      </c>
      <c r="C12">
        <v>21</v>
      </c>
      <c r="D12">
        <v>22</v>
      </c>
      <c r="E12">
        <v>22</v>
      </c>
      <c r="F12">
        <v>22</v>
      </c>
      <c r="G12">
        <v>21</v>
      </c>
      <c r="H12">
        <v>21</v>
      </c>
      <c r="R12">
        <v>10</v>
      </c>
    </row>
    <row r="13" spans="1:18" x14ac:dyDescent="0.25">
      <c r="A13" t="s">
        <v>13</v>
      </c>
      <c r="B13">
        <v>12</v>
      </c>
      <c r="C13">
        <v>23</v>
      </c>
      <c r="D13">
        <v>22</v>
      </c>
      <c r="E13">
        <v>21</v>
      </c>
      <c r="F13">
        <v>21</v>
      </c>
      <c r="G13">
        <v>22</v>
      </c>
      <c r="H13">
        <v>23</v>
      </c>
      <c r="R13">
        <v>11</v>
      </c>
    </row>
    <row r="14" spans="1:18" x14ac:dyDescent="0.25">
      <c r="C14">
        <f>SUBTOTAL(109,Tabel2[2015])</f>
        <v>261</v>
      </c>
      <c r="D14">
        <f>SUBTOTAL(109,Tabel2[2016])</f>
        <v>260</v>
      </c>
      <c r="E14">
        <f>SUBTOTAL(109,Tabel2[2017])</f>
        <v>260</v>
      </c>
      <c r="F14">
        <f>SUBTOTAL(109,Tabel2[2018])</f>
        <v>261</v>
      </c>
      <c r="G14">
        <f>SUBTOTAL(109,Tabel2[2019])</f>
        <v>261</v>
      </c>
      <c r="H14">
        <f>SUBTOTAL(109,Tabel2[2020])</f>
        <v>262</v>
      </c>
      <c r="R14">
        <v>12</v>
      </c>
    </row>
    <row r="15" spans="1:18" x14ac:dyDescent="0.25">
      <c r="R15">
        <v>13</v>
      </c>
    </row>
    <row r="16" spans="1:18" x14ac:dyDescent="0.25">
      <c r="A16" t="s">
        <v>0</v>
      </c>
      <c r="B16" t="s">
        <v>17</v>
      </c>
      <c r="C16" t="s">
        <v>18</v>
      </c>
      <c r="D16" t="s">
        <v>48</v>
      </c>
      <c r="E16" t="s">
        <v>49</v>
      </c>
      <c r="F16" t="s">
        <v>63</v>
      </c>
      <c r="G16" t="s">
        <v>78</v>
      </c>
      <c r="H16" t="s">
        <v>79</v>
      </c>
      <c r="I16" t="s">
        <v>80</v>
      </c>
      <c r="J16" t="s">
        <v>81</v>
      </c>
      <c r="K16" t="s">
        <v>82</v>
      </c>
      <c r="L16" t="s">
        <v>83</v>
      </c>
      <c r="M16" t="s">
        <v>85</v>
      </c>
      <c r="N16" t="s">
        <v>86</v>
      </c>
      <c r="O16" s="37" t="s">
        <v>56</v>
      </c>
      <c r="R16">
        <v>14</v>
      </c>
    </row>
    <row r="17" spans="1:18" x14ac:dyDescent="0.25">
      <c r="A17">
        <v>2015</v>
      </c>
      <c r="B17" s="2">
        <v>17550</v>
      </c>
      <c r="C17" s="2">
        <v>13648</v>
      </c>
      <c r="D17">
        <v>270</v>
      </c>
      <c r="E17">
        <v>1.1200000000000001</v>
      </c>
      <c r="G17" s="2">
        <v>15947</v>
      </c>
      <c r="H17" s="2">
        <v>14416</v>
      </c>
      <c r="I17" s="2">
        <v>10849</v>
      </c>
      <c r="J17" s="2">
        <v>736</v>
      </c>
      <c r="K17" s="2">
        <v>665</v>
      </c>
      <c r="L17" s="2">
        <v>501</v>
      </c>
      <c r="M17" s="2">
        <v>90</v>
      </c>
      <c r="N17" s="2">
        <v>180</v>
      </c>
      <c r="O17" s="38">
        <v>1</v>
      </c>
      <c r="R17">
        <v>15</v>
      </c>
    </row>
    <row r="18" spans="1:18" x14ac:dyDescent="0.25">
      <c r="A18">
        <v>2016</v>
      </c>
      <c r="B18" s="2">
        <v>17745</v>
      </c>
      <c r="C18" s="2">
        <v>13839</v>
      </c>
      <c r="D18">
        <v>284</v>
      </c>
      <c r="E18">
        <v>1.18</v>
      </c>
      <c r="G18" s="2">
        <v>16120</v>
      </c>
      <c r="H18" s="2">
        <v>14575</v>
      </c>
      <c r="I18" s="2">
        <v>10968</v>
      </c>
      <c r="J18" s="2">
        <v>744</v>
      </c>
      <c r="K18" s="2">
        <v>673</v>
      </c>
      <c r="L18" s="2">
        <v>506</v>
      </c>
      <c r="M18" s="2">
        <v>94.65</v>
      </c>
      <c r="N18" s="2">
        <v>189.35</v>
      </c>
      <c r="O18" s="39">
        <v>2</v>
      </c>
      <c r="R18">
        <v>16</v>
      </c>
    </row>
    <row r="19" spans="1:18" x14ac:dyDescent="0.25">
      <c r="A19" s="3" t="s">
        <v>57</v>
      </c>
      <c r="B19" s="2">
        <v>18027</v>
      </c>
      <c r="C19" s="2">
        <v>14116</v>
      </c>
      <c r="D19">
        <v>284</v>
      </c>
      <c r="E19">
        <v>1.18</v>
      </c>
      <c r="G19" s="2">
        <v>16380</v>
      </c>
      <c r="H19" s="2">
        <v>14808</v>
      </c>
      <c r="I19" s="2">
        <v>11143</v>
      </c>
      <c r="J19" s="2">
        <v>756</v>
      </c>
      <c r="K19" s="2">
        <v>683</v>
      </c>
      <c r="L19" s="2">
        <v>514</v>
      </c>
      <c r="M19" s="2">
        <v>94.65</v>
      </c>
      <c r="N19" s="2">
        <v>189.35</v>
      </c>
      <c r="O19" s="38">
        <v>3</v>
      </c>
      <c r="R19">
        <v>17</v>
      </c>
    </row>
    <row r="20" spans="1:18" x14ac:dyDescent="0.25">
      <c r="A20" s="3" t="s">
        <v>58</v>
      </c>
      <c r="B20" s="2">
        <v>18035</v>
      </c>
      <c r="C20" s="2">
        <v>14116</v>
      </c>
      <c r="D20">
        <v>284</v>
      </c>
      <c r="E20">
        <v>1.18</v>
      </c>
      <c r="G20" s="2">
        <v>16379</v>
      </c>
      <c r="H20" s="2">
        <v>14808</v>
      </c>
      <c r="I20" s="2">
        <v>11143</v>
      </c>
      <c r="J20" s="2">
        <v>756</v>
      </c>
      <c r="K20" s="2">
        <v>683</v>
      </c>
      <c r="L20" s="2">
        <v>514</v>
      </c>
      <c r="M20" s="2">
        <v>94.65</v>
      </c>
      <c r="N20" s="2">
        <v>189.35</v>
      </c>
      <c r="O20" s="39">
        <v>3</v>
      </c>
      <c r="R20">
        <v>18</v>
      </c>
    </row>
    <row r="21" spans="1:18" x14ac:dyDescent="0.25">
      <c r="A21">
        <v>2018</v>
      </c>
      <c r="B21" s="2">
        <v>18260</v>
      </c>
      <c r="C21" s="2">
        <v>14398</v>
      </c>
      <c r="D21">
        <v>284</v>
      </c>
      <c r="E21">
        <v>1.18</v>
      </c>
      <c r="G21" s="2">
        <v>16583</v>
      </c>
      <c r="H21" s="2">
        <v>14993</v>
      </c>
      <c r="I21" s="2">
        <v>11282</v>
      </c>
      <c r="J21" s="2">
        <v>765</v>
      </c>
      <c r="K21" s="2">
        <v>692</v>
      </c>
      <c r="L21" s="2">
        <v>521</v>
      </c>
      <c r="M21" s="2">
        <v>94.65</v>
      </c>
      <c r="N21" s="2">
        <v>189.35</v>
      </c>
      <c r="O21" s="38">
        <v>4</v>
      </c>
      <c r="R21">
        <v>19</v>
      </c>
    </row>
    <row r="22" spans="1:18" x14ac:dyDescent="0.25">
      <c r="A22">
        <v>2019</v>
      </c>
      <c r="B22" s="2">
        <v>18489</v>
      </c>
      <c r="C22" s="2">
        <v>14686</v>
      </c>
      <c r="D22">
        <v>284</v>
      </c>
      <c r="E22">
        <v>1.18</v>
      </c>
      <c r="F22" s="30"/>
      <c r="G22" s="2">
        <v>16791</v>
      </c>
      <c r="H22" s="2">
        <v>15180</v>
      </c>
      <c r="I22" s="2">
        <v>11423</v>
      </c>
      <c r="J22" s="2">
        <v>775</v>
      </c>
      <c r="K22" s="2">
        <v>701</v>
      </c>
      <c r="L22" s="2">
        <v>527</v>
      </c>
      <c r="M22" s="2">
        <v>94.65</v>
      </c>
      <c r="N22" s="2">
        <v>189.35</v>
      </c>
      <c r="O22" s="39">
        <v>5</v>
      </c>
      <c r="R22">
        <v>20</v>
      </c>
    </row>
    <row r="23" spans="1:18" x14ac:dyDescent="0.25">
      <c r="A23">
        <v>2020</v>
      </c>
      <c r="B23" s="2">
        <v>18701</v>
      </c>
      <c r="C23" s="2">
        <v>14965</v>
      </c>
      <c r="D23">
        <v>284</v>
      </c>
      <c r="E23">
        <v>1.18</v>
      </c>
      <c r="F23" s="30">
        <v>3.0000000000000001E-3</v>
      </c>
      <c r="G23" s="2">
        <v>16984</v>
      </c>
      <c r="H23" s="2">
        <v>15355</v>
      </c>
      <c r="I23" s="2">
        <v>11554</v>
      </c>
      <c r="J23" s="2">
        <v>784</v>
      </c>
      <c r="K23" s="2">
        <v>709</v>
      </c>
      <c r="L23" s="2">
        <v>533</v>
      </c>
      <c r="M23" s="2">
        <v>94.65</v>
      </c>
      <c r="N23" s="2">
        <v>189.35</v>
      </c>
      <c r="O23" s="38">
        <v>6</v>
      </c>
      <c r="R23">
        <v>21</v>
      </c>
    </row>
    <row r="24" spans="1:18" x14ac:dyDescent="0.25">
      <c r="A24">
        <v>1</v>
      </c>
      <c r="B24" s="2">
        <v>2</v>
      </c>
      <c r="C24" s="2">
        <v>3</v>
      </c>
      <c r="D24">
        <v>4</v>
      </c>
      <c r="E24">
        <v>5</v>
      </c>
      <c r="F24">
        <v>6</v>
      </c>
      <c r="G24" s="2">
        <v>7</v>
      </c>
      <c r="H24" s="2">
        <v>8</v>
      </c>
      <c r="I24" s="2">
        <v>9</v>
      </c>
      <c r="J24" s="2">
        <v>10</v>
      </c>
      <c r="K24" s="2">
        <v>11</v>
      </c>
      <c r="L24" s="2">
        <v>12</v>
      </c>
      <c r="M24" s="2">
        <v>13</v>
      </c>
      <c r="N24" s="2">
        <v>14</v>
      </c>
      <c r="R24">
        <v>22</v>
      </c>
    </row>
    <row r="25" spans="1:18" x14ac:dyDescent="0.25">
      <c r="B25" s="2"/>
      <c r="C25" s="2"/>
      <c r="G25" s="2"/>
      <c r="H25" s="2"/>
      <c r="I25" s="2"/>
      <c r="J25" s="2"/>
      <c r="K25" s="2"/>
      <c r="L25" s="2"/>
      <c r="M25" s="2"/>
      <c r="N25" s="2"/>
    </row>
    <row r="26" spans="1:18" x14ac:dyDescent="0.25">
      <c r="B26" s="2"/>
      <c r="C26" s="2"/>
      <c r="G26" s="2"/>
      <c r="H26" s="2"/>
      <c r="I26" s="2"/>
      <c r="J26" s="2"/>
      <c r="K26" s="2"/>
      <c r="L26" s="2"/>
      <c r="M26" s="2"/>
      <c r="N26" s="2"/>
    </row>
    <row r="27" spans="1:18" x14ac:dyDescent="0.25">
      <c r="A27" t="s">
        <v>29</v>
      </c>
      <c r="B27" t="s">
        <v>30</v>
      </c>
      <c r="C27" t="s">
        <v>14</v>
      </c>
      <c r="D27" t="s">
        <v>31</v>
      </c>
      <c r="E27" t="s">
        <v>33</v>
      </c>
      <c r="F27" t="s">
        <v>32</v>
      </c>
      <c r="G27" t="s">
        <v>34</v>
      </c>
      <c r="H27" t="s">
        <v>35</v>
      </c>
    </row>
    <row r="28" spans="1:18" x14ac:dyDescent="0.25">
      <c r="A28" t="s">
        <v>84</v>
      </c>
      <c r="B28" s="2">
        <v>17550</v>
      </c>
      <c r="C28" s="2">
        <v>17745</v>
      </c>
      <c r="D28" s="2">
        <v>18027</v>
      </c>
      <c r="E28" s="2">
        <v>18035</v>
      </c>
      <c r="F28" s="2">
        <v>18260</v>
      </c>
      <c r="G28" s="2">
        <v>18489</v>
      </c>
      <c r="H28" s="2">
        <v>18701</v>
      </c>
    </row>
    <row r="29" spans="1:18" x14ac:dyDescent="0.25">
      <c r="A29" t="s">
        <v>19</v>
      </c>
      <c r="B29" s="2">
        <v>4050</v>
      </c>
      <c r="C29" s="2">
        <v>4095</v>
      </c>
      <c r="D29" s="2">
        <v>4160</v>
      </c>
      <c r="E29" s="2">
        <v>4162</v>
      </c>
      <c r="F29" s="2">
        <v>4214</v>
      </c>
      <c r="G29" s="2">
        <v>4267</v>
      </c>
      <c r="H29" s="2">
        <v>4316</v>
      </c>
    </row>
    <row r="30" spans="1:18" x14ac:dyDescent="0.25">
      <c r="A30" t="s">
        <v>20</v>
      </c>
      <c r="B30" s="2">
        <v>13648</v>
      </c>
      <c r="C30" s="2">
        <v>13839</v>
      </c>
      <c r="D30" s="2">
        <v>14116</v>
      </c>
      <c r="E30" s="2">
        <v>14116</v>
      </c>
      <c r="F30" s="2">
        <v>14398</v>
      </c>
      <c r="G30" s="2">
        <v>14686</v>
      </c>
      <c r="H30" s="2">
        <v>14965</v>
      </c>
    </row>
    <row r="31" spans="1:18" x14ac:dyDescent="0.25">
      <c r="A31" t="s">
        <v>21</v>
      </c>
      <c r="B31" s="2">
        <v>30</v>
      </c>
      <c r="C31" s="2">
        <v>30</v>
      </c>
      <c r="D31" s="2">
        <v>30</v>
      </c>
      <c r="E31" s="2">
        <v>30</v>
      </c>
      <c r="F31" s="2">
        <v>30</v>
      </c>
      <c r="G31" s="2">
        <v>30</v>
      </c>
      <c r="H31" s="2">
        <v>30</v>
      </c>
    </row>
    <row r="32" spans="1:18" x14ac:dyDescent="0.25">
      <c r="A32" t="s">
        <v>22</v>
      </c>
      <c r="B32" s="2">
        <v>55</v>
      </c>
      <c r="C32" s="2">
        <v>55</v>
      </c>
      <c r="D32" s="2">
        <v>55</v>
      </c>
      <c r="E32" s="2">
        <v>55</v>
      </c>
      <c r="F32" s="2">
        <v>55</v>
      </c>
      <c r="G32" s="2">
        <v>55</v>
      </c>
      <c r="H32" s="2">
        <v>55</v>
      </c>
    </row>
    <row r="33" spans="1:8" x14ac:dyDescent="0.25">
      <c r="A33" t="s">
        <v>23</v>
      </c>
      <c r="B33" s="2">
        <v>5</v>
      </c>
      <c r="C33" s="2">
        <v>5</v>
      </c>
      <c r="D33" s="2">
        <v>5</v>
      </c>
      <c r="E33" s="2">
        <v>5</v>
      </c>
      <c r="F33" s="2">
        <v>5</v>
      </c>
      <c r="G33" s="2">
        <v>5</v>
      </c>
      <c r="H33" s="2">
        <v>5</v>
      </c>
    </row>
    <row r="34" spans="1:8" x14ac:dyDescent="0.25">
      <c r="A34" t="s">
        <v>24</v>
      </c>
      <c r="B34" s="2">
        <v>500</v>
      </c>
      <c r="C34" s="2">
        <v>500</v>
      </c>
      <c r="D34" s="2">
        <v>500</v>
      </c>
      <c r="E34" s="2">
        <v>500</v>
      </c>
      <c r="F34" s="2">
        <v>500</v>
      </c>
      <c r="G34" s="2">
        <v>500</v>
      </c>
      <c r="H34" s="2">
        <v>500</v>
      </c>
    </row>
    <row r="35" spans="1:8" x14ac:dyDescent="0.25">
      <c r="A35" t="s">
        <v>25</v>
      </c>
      <c r="B35" s="2">
        <v>39</v>
      </c>
      <c r="C35" s="2">
        <v>39</v>
      </c>
      <c r="D35" s="2">
        <v>39</v>
      </c>
      <c r="E35" s="2">
        <v>39</v>
      </c>
      <c r="F35" s="2">
        <v>39</v>
      </c>
      <c r="G35" s="2">
        <v>39</v>
      </c>
      <c r="H35" s="2">
        <v>39</v>
      </c>
    </row>
    <row r="36" spans="1:8" x14ac:dyDescent="0.25">
      <c r="A36" t="s">
        <v>26</v>
      </c>
      <c r="B36" s="2">
        <v>270</v>
      </c>
      <c r="C36" s="2">
        <v>284</v>
      </c>
      <c r="D36" s="2">
        <v>284</v>
      </c>
      <c r="E36" s="2">
        <v>284</v>
      </c>
      <c r="F36" s="2">
        <v>284</v>
      </c>
      <c r="G36" s="2">
        <v>284</v>
      </c>
      <c r="H36" s="2">
        <v>284</v>
      </c>
    </row>
    <row r="37" spans="1:8" x14ac:dyDescent="0.25">
      <c r="A37" t="s">
        <v>27</v>
      </c>
      <c r="B37" s="2">
        <v>1.1200000000000001</v>
      </c>
      <c r="C37" s="2">
        <v>1.18</v>
      </c>
      <c r="D37" s="2">
        <v>1.18</v>
      </c>
      <c r="E37" s="2">
        <v>1.18</v>
      </c>
      <c r="F37" s="2">
        <v>1.18</v>
      </c>
      <c r="G37" s="2">
        <v>1.18</v>
      </c>
      <c r="H37" s="2">
        <v>1.18</v>
      </c>
    </row>
    <row r="38" spans="1:8" x14ac:dyDescent="0.25">
      <c r="A38" t="s">
        <v>28</v>
      </c>
      <c r="B38" s="2">
        <v>131225</v>
      </c>
      <c r="C38" s="2">
        <v>133062</v>
      </c>
      <c r="D38" s="2">
        <v>135723</v>
      </c>
      <c r="E38" s="2">
        <v>135723</v>
      </c>
      <c r="F38" s="2">
        <v>138437</v>
      </c>
      <c r="G38" s="2">
        <v>141206</v>
      </c>
      <c r="H38" s="2">
        <v>143889</v>
      </c>
    </row>
    <row r="39" spans="1:8" x14ac:dyDescent="0.25">
      <c r="A39" t="s">
        <v>69</v>
      </c>
      <c r="B39" s="2">
        <v>14416</v>
      </c>
      <c r="C39" s="2">
        <v>14575</v>
      </c>
      <c r="D39" s="2">
        <v>14808</v>
      </c>
      <c r="E39" s="2">
        <v>14808</v>
      </c>
      <c r="F39" s="2">
        <v>14993</v>
      </c>
      <c r="G39" s="41">
        <v>15180</v>
      </c>
      <c r="H39" s="2">
        <v>15355</v>
      </c>
    </row>
    <row r="40" spans="1:8" x14ac:dyDescent="0.25">
      <c r="A40" t="s">
        <v>70</v>
      </c>
      <c r="B40" s="2">
        <v>10849</v>
      </c>
      <c r="C40" s="2">
        <v>10968</v>
      </c>
      <c r="D40" s="2">
        <v>11143</v>
      </c>
      <c r="E40" s="2">
        <v>11143</v>
      </c>
      <c r="F40" s="2">
        <v>11282</v>
      </c>
      <c r="G40" s="40">
        <v>11423</v>
      </c>
      <c r="H40" s="2">
        <v>11554</v>
      </c>
    </row>
    <row r="41" spans="1:8" x14ac:dyDescent="0.25">
      <c r="A41" t="s">
        <v>71</v>
      </c>
      <c r="B41" s="2">
        <v>15947</v>
      </c>
      <c r="C41" s="2">
        <v>16120</v>
      </c>
      <c r="D41" s="2">
        <v>16380</v>
      </c>
      <c r="E41" s="2">
        <v>16379</v>
      </c>
      <c r="F41" s="2">
        <v>16583</v>
      </c>
      <c r="G41" s="40">
        <v>16791</v>
      </c>
      <c r="H41" s="2">
        <v>16984</v>
      </c>
    </row>
    <row r="42" spans="1:8" x14ac:dyDescent="0.25">
      <c r="A42" t="s">
        <v>72</v>
      </c>
      <c r="B42" s="2">
        <v>3680</v>
      </c>
      <c r="C42" s="2">
        <v>3720</v>
      </c>
      <c r="D42" s="2">
        <v>3780</v>
      </c>
      <c r="E42" s="2">
        <v>3780</v>
      </c>
      <c r="F42" s="2">
        <v>3827</v>
      </c>
      <c r="G42" s="2">
        <v>3875</v>
      </c>
      <c r="H42" s="2">
        <v>3919</v>
      </c>
    </row>
    <row r="43" spans="1:8" x14ac:dyDescent="0.25">
      <c r="A43" t="s">
        <v>73</v>
      </c>
      <c r="B43" s="2">
        <v>736</v>
      </c>
      <c r="C43" s="2">
        <v>744</v>
      </c>
      <c r="D43" s="2">
        <v>756</v>
      </c>
      <c r="E43" s="2">
        <v>756</v>
      </c>
      <c r="F43" s="2">
        <v>765</v>
      </c>
      <c r="G43" s="2">
        <v>775</v>
      </c>
      <c r="H43" s="2">
        <v>784</v>
      </c>
    </row>
    <row r="44" spans="1:8" x14ac:dyDescent="0.25">
      <c r="A44" t="s">
        <v>74</v>
      </c>
      <c r="B44" s="2">
        <v>665</v>
      </c>
      <c r="C44" s="2">
        <v>673</v>
      </c>
      <c r="D44" s="2">
        <v>683</v>
      </c>
      <c r="E44" s="2">
        <v>683</v>
      </c>
      <c r="F44" s="2">
        <v>692</v>
      </c>
      <c r="G44" s="2">
        <v>701</v>
      </c>
      <c r="H44" s="2">
        <v>709</v>
      </c>
    </row>
    <row r="45" spans="1:8" x14ac:dyDescent="0.25">
      <c r="A45" t="s">
        <v>75</v>
      </c>
      <c r="B45" s="2">
        <v>501</v>
      </c>
      <c r="C45" s="2">
        <v>506</v>
      </c>
      <c r="D45" s="2">
        <v>514</v>
      </c>
      <c r="E45" s="2">
        <v>514</v>
      </c>
      <c r="F45" s="2">
        <v>521</v>
      </c>
      <c r="G45" s="2">
        <v>527</v>
      </c>
      <c r="H45" s="2">
        <v>533</v>
      </c>
    </row>
    <row r="46" spans="1:8" x14ac:dyDescent="0.25">
      <c r="A46" t="s">
        <v>76</v>
      </c>
      <c r="B46" s="2">
        <v>90</v>
      </c>
      <c r="C46" s="2">
        <v>94.65</v>
      </c>
      <c r="D46" s="2">
        <v>94.65</v>
      </c>
      <c r="E46" s="2">
        <v>94.65</v>
      </c>
      <c r="F46" s="2">
        <v>94.65</v>
      </c>
      <c r="G46" s="2">
        <v>94.65</v>
      </c>
      <c r="H46" s="2">
        <v>94.65</v>
      </c>
    </row>
    <row r="47" spans="1:8" x14ac:dyDescent="0.25">
      <c r="A47" t="s">
        <v>77</v>
      </c>
      <c r="B47" s="2">
        <v>180</v>
      </c>
      <c r="C47" s="2">
        <v>189.35</v>
      </c>
      <c r="D47" s="2">
        <v>189.35</v>
      </c>
      <c r="E47" s="2">
        <v>189.35</v>
      </c>
      <c r="F47" s="2">
        <v>189.35</v>
      </c>
      <c r="G47" s="2">
        <v>189.35</v>
      </c>
      <c r="H47" s="2">
        <v>189.35</v>
      </c>
    </row>
  </sheetData>
  <sheetProtection algorithmName="SHA-512" hashValue="i5R4S8NigfecmxFd0+T1THDJHHs+DVnuN2KKp9Qh0UV+mQ3NhHx3UWYb/92IQkaLttIFJPJh6kJpbKobe7b8zg==" saltValue="T9/gYN7i3BAz+B/bOxJbKQ==" spinCount="100000" sheet="1" objects="1" scenarios="1" selectLockedCells="1" selectUnlockedCells="1"/>
  <phoneticPr fontId="3" type="noConversion"/>
  <pageMargins left="0.7" right="0.7" top="0.75" bottom="0.75" header="0.3" footer="0.3"/>
  <pageSetup paperSize="9" orientation="portrait" r:id="rId1"/>
  <headerFooter>
    <oddFooter>&amp;L&amp;1#&amp;"Calibri"&amp;10&amp;K000000Internal - KMD A/S</oddFooter>
  </headerFooter>
  <tableParts count="6">
    <tablePart r:id="rId2"/>
    <tablePart r:id="rId3"/>
    <tablePart r:id="rId4"/>
    <tablePart r:id="rId5"/>
    <tablePart r:id="rId6"/>
    <tablePart r:id="rId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E8365-9D6E-4100-97B9-4E230153D7C5}">
  <dimension ref="A1:G20"/>
  <sheetViews>
    <sheetView tabSelected="1" workbookViewId="0">
      <selection activeCell="K7" sqref="K7"/>
    </sheetView>
  </sheetViews>
  <sheetFormatPr defaultRowHeight="15" x14ac:dyDescent="0.25"/>
  <cols>
    <col min="1" max="1" width="31" bestFit="1" customWidth="1"/>
    <col min="2" max="7" width="11.5703125" bestFit="1" customWidth="1"/>
  </cols>
  <sheetData>
    <row r="1" spans="1:7" x14ac:dyDescent="0.25">
      <c r="A1" t="s">
        <v>29</v>
      </c>
      <c r="B1" t="s">
        <v>30</v>
      </c>
      <c r="C1" t="s">
        <v>14</v>
      </c>
      <c r="D1" t="s">
        <v>31</v>
      </c>
      <c r="E1" t="s">
        <v>33</v>
      </c>
      <c r="F1" t="s">
        <v>32</v>
      </c>
      <c r="G1" t="s">
        <v>34</v>
      </c>
    </row>
    <row r="2" spans="1:7" x14ac:dyDescent="0.25">
      <c r="A2" t="s">
        <v>84</v>
      </c>
      <c r="B2" s="2">
        <v>17550</v>
      </c>
      <c r="C2" s="2">
        <v>17745</v>
      </c>
      <c r="D2" s="2">
        <v>18027</v>
      </c>
      <c r="E2" s="2">
        <v>18035</v>
      </c>
      <c r="F2" s="2">
        <v>18260</v>
      </c>
      <c r="G2" s="2">
        <v>18489</v>
      </c>
    </row>
    <row r="3" spans="1:7" x14ac:dyDescent="0.25">
      <c r="A3" t="s">
        <v>19</v>
      </c>
      <c r="B3" s="2">
        <v>4050</v>
      </c>
      <c r="C3" s="2">
        <v>4095</v>
      </c>
      <c r="D3" s="2">
        <v>4160</v>
      </c>
      <c r="E3" s="2">
        <v>4162</v>
      </c>
      <c r="F3" s="2">
        <v>4214</v>
      </c>
      <c r="G3" s="2">
        <v>4267</v>
      </c>
    </row>
    <row r="4" spans="1:7" x14ac:dyDescent="0.25">
      <c r="A4" t="s">
        <v>20</v>
      </c>
      <c r="B4" s="2">
        <v>13648</v>
      </c>
      <c r="C4" s="2">
        <v>13839</v>
      </c>
      <c r="D4" s="2">
        <v>14116</v>
      </c>
      <c r="E4" s="2">
        <v>14116</v>
      </c>
      <c r="F4" s="2">
        <v>14398</v>
      </c>
      <c r="G4" s="2">
        <v>14686</v>
      </c>
    </row>
    <row r="5" spans="1:7" x14ac:dyDescent="0.25">
      <c r="A5" t="s">
        <v>21</v>
      </c>
      <c r="B5" s="2">
        <v>30</v>
      </c>
      <c r="C5" s="2">
        <v>30</v>
      </c>
      <c r="D5" s="2">
        <v>30</v>
      </c>
      <c r="E5" s="2">
        <v>30</v>
      </c>
      <c r="F5" s="2">
        <v>30</v>
      </c>
      <c r="G5" s="2">
        <v>30</v>
      </c>
    </row>
    <row r="6" spans="1:7" x14ac:dyDescent="0.25">
      <c r="A6" t="s">
        <v>22</v>
      </c>
      <c r="B6" s="2">
        <v>55</v>
      </c>
      <c r="C6" s="2">
        <v>55</v>
      </c>
      <c r="D6" s="2">
        <v>55</v>
      </c>
      <c r="E6" s="2">
        <v>55</v>
      </c>
      <c r="F6" s="2">
        <v>55</v>
      </c>
      <c r="G6" s="2">
        <v>55</v>
      </c>
    </row>
    <row r="7" spans="1:7" x14ac:dyDescent="0.25">
      <c r="A7" t="s">
        <v>23</v>
      </c>
      <c r="B7" s="2">
        <v>5</v>
      </c>
      <c r="C7" s="2">
        <v>5</v>
      </c>
      <c r="D7" s="2">
        <v>5</v>
      </c>
      <c r="E7" s="2">
        <v>5</v>
      </c>
      <c r="F7" s="2">
        <v>5</v>
      </c>
      <c r="G7" s="2">
        <v>5</v>
      </c>
    </row>
    <row r="8" spans="1:7" x14ac:dyDescent="0.25">
      <c r="A8" t="s">
        <v>24</v>
      </c>
      <c r="B8" s="2">
        <v>500</v>
      </c>
      <c r="C8" s="2">
        <v>500</v>
      </c>
      <c r="D8" s="2">
        <v>500</v>
      </c>
      <c r="E8" s="2">
        <v>500</v>
      </c>
      <c r="F8" s="2">
        <v>500</v>
      </c>
      <c r="G8" s="2">
        <v>500</v>
      </c>
    </row>
    <row r="9" spans="1:7" x14ac:dyDescent="0.25">
      <c r="A9" t="s">
        <v>25</v>
      </c>
      <c r="B9" s="2">
        <v>39</v>
      </c>
      <c r="C9" s="2">
        <v>39</v>
      </c>
      <c r="D9" s="2">
        <v>39</v>
      </c>
      <c r="E9" s="2">
        <v>39</v>
      </c>
      <c r="F9" s="2">
        <v>39</v>
      </c>
      <c r="G9" s="2">
        <v>39</v>
      </c>
    </row>
    <row r="10" spans="1:7" x14ac:dyDescent="0.25">
      <c r="A10" t="s">
        <v>26</v>
      </c>
      <c r="B10" s="2">
        <v>270</v>
      </c>
      <c r="C10" s="2">
        <v>284</v>
      </c>
      <c r="D10" s="2">
        <v>284</v>
      </c>
      <c r="E10" s="2">
        <v>284</v>
      </c>
      <c r="F10" s="2">
        <v>284</v>
      </c>
      <c r="G10" s="2">
        <v>284</v>
      </c>
    </row>
    <row r="11" spans="1:7" x14ac:dyDescent="0.25">
      <c r="A11" t="s">
        <v>27</v>
      </c>
      <c r="B11" s="2">
        <v>1.1200000000000001</v>
      </c>
      <c r="C11" s="2">
        <v>1.18</v>
      </c>
      <c r="D11" s="2">
        <v>1.18</v>
      </c>
      <c r="E11" s="2">
        <v>1.18</v>
      </c>
      <c r="F11" s="2">
        <v>1.18</v>
      </c>
      <c r="G11" s="2">
        <v>1.18</v>
      </c>
    </row>
    <row r="12" spans="1:7" x14ac:dyDescent="0.25">
      <c r="A12" t="s">
        <v>69</v>
      </c>
      <c r="B12" s="2">
        <v>14416</v>
      </c>
      <c r="C12" s="2">
        <v>14575</v>
      </c>
      <c r="D12" s="2">
        <v>14808</v>
      </c>
      <c r="E12" s="2">
        <v>14808</v>
      </c>
      <c r="F12" s="2">
        <v>14993</v>
      </c>
      <c r="G12" s="41">
        <v>15180</v>
      </c>
    </row>
    <row r="13" spans="1:7" x14ac:dyDescent="0.25">
      <c r="A13" t="s">
        <v>70</v>
      </c>
      <c r="B13" s="2">
        <v>10849</v>
      </c>
      <c r="C13" s="2">
        <v>10968</v>
      </c>
      <c r="D13" s="2">
        <v>11143</v>
      </c>
      <c r="E13" s="2">
        <v>11143</v>
      </c>
      <c r="F13" s="2">
        <v>11282</v>
      </c>
      <c r="G13" s="40">
        <v>11423</v>
      </c>
    </row>
    <row r="14" spans="1:7" x14ac:dyDescent="0.25">
      <c r="A14" t="s">
        <v>71</v>
      </c>
      <c r="B14" s="2">
        <v>15947</v>
      </c>
      <c r="C14" s="2">
        <v>16120</v>
      </c>
      <c r="D14" s="2">
        <v>16380</v>
      </c>
      <c r="E14" s="2">
        <v>16379</v>
      </c>
      <c r="F14" s="2">
        <v>16583</v>
      </c>
      <c r="G14" s="40">
        <v>16791</v>
      </c>
    </row>
    <row r="15" spans="1:7" x14ac:dyDescent="0.25">
      <c r="A15" t="s">
        <v>72</v>
      </c>
      <c r="B15" s="2">
        <v>3680</v>
      </c>
      <c r="C15" s="2">
        <v>3720</v>
      </c>
      <c r="D15" s="2">
        <v>3780</v>
      </c>
      <c r="E15" s="2">
        <v>3780</v>
      </c>
      <c r="F15" s="2">
        <v>3827</v>
      </c>
      <c r="G15" s="2">
        <v>3875</v>
      </c>
    </row>
    <row r="16" spans="1:7" x14ac:dyDescent="0.25">
      <c r="A16" t="s">
        <v>73</v>
      </c>
      <c r="B16" s="2">
        <v>736</v>
      </c>
      <c r="C16" s="2">
        <v>744</v>
      </c>
      <c r="D16" s="2">
        <v>756</v>
      </c>
      <c r="E16" s="2">
        <v>756</v>
      </c>
      <c r="F16" s="2">
        <v>765</v>
      </c>
      <c r="G16" s="2">
        <v>775</v>
      </c>
    </row>
    <row r="17" spans="1:7" x14ac:dyDescent="0.25">
      <c r="A17" t="s">
        <v>74</v>
      </c>
      <c r="B17" s="2">
        <v>665</v>
      </c>
      <c r="C17" s="2">
        <v>673</v>
      </c>
      <c r="D17" s="2">
        <v>683</v>
      </c>
      <c r="E17" s="2">
        <v>683</v>
      </c>
      <c r="F17" s="2">
        <v>692</v>
      </c>
      <c r="G17" s="2">
        <v>701</v>
      </c>
    </row>
    <row r="18" spans="1:7" x14ac:dyDescent="0.25">
      <c r="A18" t="s">
        <v>75</v>
      </c>
      <c r="B18" s="2">
        <v>501</v>
      </c>
      <c r="C18" s="2">
        <v>506</v>
      </c>
      <c r="D18" s="2">
        <v>514</v>
      </c>
      <c r="E18" s="2">
        <v>514</v>
      </c>
      <c r="F18" s="2">
        <v>521</v>
      </c>
      <c r="G18" s="2">
        <v>527</v>
      </c>
    </row>
    <row r="19" spans="1:7" x14ac:dyDescent="0.25">
      <c r="A19" t="s">
        <v>76</v>
      </c>
      <c r="B19" s="2">
        <v>90</v>
      </c>
      <c r="C19" s="2">
        <v>94.65</v>
      </c>
      <c r="D19" s="2">
        <v>94.65</v>
      </c>
      <c r="E19" s="2">
        <v>94.65</v>
      </c>
      <c r="F19" s="2">
        <v>94.65</v>
      </c>
      <c r="G19" s="2">
        <v>94.65</v>
      </c>
    </row>
    <row r="20" spans="1:7" x14ac:dyDescent="0.25">
      <c r="A20" t="s">
        <v>77</v>
      </c>
      <c r="B20" s="2">
        <v>180</v>
      </c>
      <c r="C20" s="2">
        <v>189.35</v>
      </c>
      <c r="D20" s="2">
        <v>189.35</v>
      </c>
      <c r="E20" s="2">
        <v>189.35</v>
      </c>
      <c r="F20" s="2">
        <v>189.35</v>
      </c>
      <c r="G20" s="2">
        <v>189.35</v>
      </c>
    </row>
  </sheetData>
  <sheetProtection algorithmName="SHA-512" hashValue="/HRFcieB/AFTPYIPuAWA+GrManpNtgsH8XAmo8/1FZrbM/3eP5qTIbZfK88D89NUpmtRrePqYtzUWjlCibwaqQ==" saltValue="vNsE2rTDqbEBKZneYP0E4Q==" spinCount="100000" sheet="1" objects="1" scenarios="1" selectLockedCells="1" selectUnlockedCells="1"/>
  <pageMargins left="0.7" right="0.7" top="0.75" bottom="0.75" header="0.3" footer="0.3"/>
  <pageSetup paperSize="9" orientation="portrait" r:id="rId1"/>
  <headerFooter>
    <oddFooter>&amp;L&amp;1#&amp;"Calibri"&amp;10&amp;K000000Internal - KMD A/S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CF87B111F02E043B22B89B7D8BDF593" ma:contentTypeVersion="0" ma:contentTypeDescription="Opret et nyt dokument." ma:contentTypeScope="" ma:versionID="8f147634de3516d0e19e1eaec06223e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c504b555cbc0eb2a32092f08c35baa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g D A A B Q S w M E F A A C A A g A S G c f U c Z I k f G o A A A A + Q A A A B I A H A B D b 2 5 m a W c v U G F j a 2 F n Z S 5 4 b W w g o h g A K K A U A A A A A A A A A A A A A A A A A A A A A A A A A A A A h Y 9 N C s I w G E S v U r J v k k Y K o X x N F 7 r T g i C I 2 5 D G N t i m 0 q S m d 3 P h k b y C B X 9 3 L m d 4 A 2 / u 1 x s U U 9 d G F z 0 4 0 9 s c J Z i i S F v V V 8 b W O R r 9 M e a o E L C V 6 i R r H c 2 w d d n k T I 4 a 7 8 8 Z I S E E H B a 4 H 2 r C K E 3 I o d z s V K M 7 G R v r v L R K o 8 + q + r 9 C A v Z P G c E w Z z j l K c d J y h I g 7 x 5 K Y 7 8 M m 5 U x B f J T w n J s / T h o U c l 4 t Q b y j k B e N 8 Q D U E s D B B Q A A g A I A E h n H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Z x 9 R K I p H u A 4 A A A A R A A A A E w A c A E Z v c m 1 1 b G F z L 1 N l Y 3 R p b 2 4 x L m 0 g o h g A K K A U A A A A A A A A A A A A A A A A A A A A A A A A A A A A K 0 5 N L s n M z 1 M I h t C G 1 g B Q S w E C L Q A U A A I A C A B I Z x 9 R x k i R 8 a g A A A D 5 A A A A E g A A A A A A A A A A A A A A A A A A A A A A Q 2 9 u Z m l n L 1 B h Y 2 t h Z 2 U u e G 1 s U E s B A i 0 A F A A C A A g A S G c f U Q / K 6 a u k A A A A 6 Q A A A B M A A A A A A A A A A A A A A A A A 9 A A A A F t D b 2 5 0 Z W 5 0 X 1 R 5 c G V z X S 5 4 b W x Q S w E C L Q A U A A I A C A B I Z x 9 R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Q T E n n n L U 0 W a Y u P o G T C o + A A A A A A C A A A A A A A D Z g A A w A A A A B A A A A B C u f p g 3 X S i Y e g u 2 v q A 0 p a p A A A A A A S A A A C g A A A A E A A A A P x I B F D w E / r 5 P d r T G v P w W 6 1 Q A A A A R V Y L W M p B f d l i I 6 h D Z m s V Y 4 O Q I T W M R C g 8 q + / B e g / h l l E 2 g Q h t W M 4 2 u 4 Y v w f + 8 I v G M J M M p q s h X 0 F b u q q X X t N 3 J y s / 9 w N t H 2 E + E M / 5 y W 6 k h G p c U A A A A n D V 1 u 6 y y p t E h u m a x / q A i 6 U d k g w s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C822B0-C65D-47AC-8E4F-0D2B447960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65C19E-78C5-4777-A37E-BE931A51CD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ED6B559-AF86-446F-9F1F-9545D90FA172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1606212-381B-4AA8-A43E-207B15C24A7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2</vt:i4>
      </vt:variant>
    </vt:vector>
  </HeadingPairs>
  <TitlesOfParts>
    <vt:vector size="6" baseType="lpstr">
      <vt:lpstr>Fleksløntilskud</vt:lpstr>
      <vt:lpstr>Ledighedsydelse</vt:lpstr>
      <vt:lpstr>Tabeller</vt:lpstr>
      <vt:lpstr>Satser</vt:lpstr>
      <vt:lpstr>Arbejdsdage</vt:lpstr>
      <vt:lpstr>Måneder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Trine Bestle (TEB)</dc:creator>
  <cp:lastModifiedBy>Trine Bestle (TEB)</cp:lastModifiedBy>
  <dcterms:created xsi:type="dcterms:W3CDTF">2020-08-31T10:52:32Z</dcterms:created>
  <dcterms:modified xsi:type="dcterms:W3CDTF">2020-09-28T17:55:19Z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1bf97-4b98-4e5c-84f4-bbc497191520_Enabled">
    <vt:lpwstr>true</vt:lpwstr>
  </property>
  <property fmtid="{D5CDD505-2E9C-101B-9397-08002B2CF9AE}" pid="3" name="MSIP_Label_fad1bf97-4b98-4e5c-84f4-bbc497191520_SetDate">
    <vt:lpwstr>2020-08-31T13:41:10Z</vt:lpwstr>
  </property>
  <property fmtid="{D5CDD505-2E9C-101B-9397-08002B2CF9AE}" pid="4" name="MSIP_Label_fad1bf97-4b98-4e5c-84f4-bbc497191520_Method">
    <vt:lpwstr>Standard</vt:lpwstr>
  </property>
  <property fmtid="{D5CDD505-2E9C-101B-9397-08002B2CF9AE}" pid="5" name="MSIP_Label_fad1bf97-4b98-4e5c-84f4-bbc497191520_Name">
    <vt:lpwstr>fad1bf97-4b98-4e5c-84f4-bbc497191520</vt:lpwstr>
  </property>
  <property fmtid="{D5CDD505-2E9C-101B-9397-08002B2CF9AE}" pid="6" name="MSIP_Label_fad1bf97-4b98-4e5c-84f4-bbc497191520_SiteId">
    <vt:lpwstr>1e2ad6d6-274f-43e8-89ef-d36d65bb83b5</vt:lpwstr>
  </property>
  <property fmtid="{D5CDD505-2E9C-101B-9397-08002B2CF9AE}" pid="7" name="MSIP_Label_fad1bf97-4b98-4e5c-84f4-bbc497191520_ActionId">
    <vt:lpwstr>7df5fcbd-710f-4faf-86e5-0000dcbda9ce</vt:lpwstr>
  </property>
  <property fmtid="{D5CDD505-2E9C-101B-9397-08002B2CF9AE}" pid="8" name="MSIP_Label_fad1bf97-4b98-4e5c-84f4-bbc497191520_ContentBits">
    <vt:lpwstr>2</vt:lpwstr>
  </property>
  <property fmtid="{D5CDD505-2E9C-101B-9397-08002B2CF9AE}" pid="9" name="ContentTypeId">
    <vt:lpwstr>0x0101001CF87B111F02E043B22B89B7D8BDF593</vt:lpwstr>
  </property>
</Properties>
</file>